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4.xml" ContentType="application/vnd.openxmlformats-officedocument.spreadsheetml.comments+xml"/>
  <Override PartName="/xl/drawings/drawing7.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8.xml" ContentType="application/vnd.openxmlformats-officedocument.drawing+xml"/>
  <Override PartName="/xl/comments5.xml" ContentType="application/vnd.openxmlformats-officedocument.spreadsheetml.comments+xml"/>
  <Override PartName="/xl/drawings/drawing9.xml" ContentType="application/vnd.openxmlformats-officedocument.drawing+xml"/>
  <Override PartName="/xl/comments6.xml" ContentType="application/vnd.openxmlformats-officedocument.spreadsheetml.comments+xml"/>
  <Override PartName="/xl/drawings/drawing10.xml" ContentType="application/vnd.openxmlformats-officedocument.drawing+xml"/>
  <Override PartName="/xl/comments7.xml" ContentType="application/vnd.openxmlformats-officedocument.spreadsheetml.comments+xml"/>
  <Override PartName="/xl/drawings/drawing11.xml" ContentType="application/vnd.openxmlformats-officedocument.drawing+xml"/>
  <Override PartName="/xl/comments8.xml" ContentType="application/vnd.openxmlformats-officedocument.spreadsheetml.comments+xml"/>
  <Override PartName="/xl/drawings/drawing12.xml" ContentType="application/vnd.openxmlformats-officedocument.drawing+xml"/>
  <Override PartName="/xl/comments9.xml" ContentType="application/vnd.openxmlformats-officedocument.spreadsheetml.comments+xml"/>
  <Override PartName="/xl/drawings/drawing13.xml" ContentType="application/vnd.openxmlformats-officedocument.drawing+xml"/>
  <Override PartName="/xl/comments10.xml" ContentType="application/vnd.openxmlformats-officedocument.spreadsheetml.comments+xml"/>
  <Override PartName="/xl/drawings/drawing14.xml" ContentType="application/vnd.openxmlformats-officedocument.drawing+xml"/>
  <Override PartName="/xl/comments11.xml" ContentType="application/vnd.openxmlformats-officedocument.spreadsheetml.comments+xml"/>
  <Override PartName="/xl/drawings/drawing15.xml" ContentType="application/vnd.openxmlformats-officedocument.drawing+xml"/>
  <Override PartName="/xl/comments12.xml" ContentType="application/vnd.openxmlformats-officedocument.spreadsheetml.comments+xml"/>
  <Override PartName="/xl/drawings/drawing16.xml" ContentType="application/vnd.openxmlformats-officedocument.drawing+xml"/>
  <Override PartName="/xl/comments13.xml" ContentType="application/vnd.openxmlformats-officedocument.spreadsheetml.comments+xml"/>
  <Override PartName="/xl/drawings/drawing17.xml" ContentType="application/vnd.openxmlformats-officedocument.drawing+xml"/>
  <Override PartName="/xl/comments14.xml" ContentType="application/vnd.openxmlformats-officedocument.spreadsheetml.comments+xml"/>
  <Override PartName="/xl/drawings/drawing18.xml" ContentType="application/vnd.openxmlformats-officedocument.drawing+xml"/>
  <Override PartName="/xl/comments15.xml" ContentType="application/vnd.openxmlformats-officedocument.spreadsheetml.comments+xml"/>
  <Override PartName="/xl/drawings/drawing19.xml" ContentType="application/vnd.openxmlformats-officedocument.drawing+xml"/>
  <Override PartName="/xl/comments16.xml" ContentType="application/vnd.openxmlformats-officedocument.spreadsheetml.comments+xml"/>
  <Override PartName="/xl/drawings/drawing20.xml" ContentType="application/vnd.openxmlformats-officedocument.drawing+xml"/>
  <Override PartName="/xl/comments17.xml" ContentType="application/vnd.openxmlformats-officedocument.spreadsheetml.comments+xml"/>
  <Override PartName="/xl/drawings/drawing21.xml" ContentType="application/vnd.openxmlformats-officedocument.drawing+xml"/>
  <Override PartName="/xl/comments18.xml" ContentType="application/vnd.openxmlformats-officedocument.spreadsheetml.comments+xml"/>
  <Override PartName="/xl/drawings/drawing2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sxia\Desktop\Imp\RMIT VN\UAT1\"/>
    </mc:Choice>
  </mc:AlternateContent>
  <bookViews>
    <workbookView xWindow="480" yWindow="48" windowWidth="11352" windowHeight="8448" tabRatio="866" activeTab="9"/>
  </bookViews>
  <sheets>
    <sheet name="Version" sheetId="39" r:id="rId1"/>
    <sheet name="UAT Schedule" sheetId="41" r:id="rId2"/>
    <sheet name="UAT Issue Log" sheetId="42" r:id="rId3"/>
    <sheet name="Index List" sheetId="38" r:id="rId4"/>
    <sheet name="General Index" sheetId="44" r:id="rId5"/>
    <sheet name="Data Validation HIDE" sheetId="45" state="hidden" r:id="rId6"/>
    <sheet name="WageType Location" sheetId="37" r:id="rId7"/>
    <sheet name="Summary" sheetId="43" r:id="rId8"/>
    <sheet name="New Hire" sheetId="1" r:id="rId9"/>
    <sheet name="UAT1-Jan" sheetId="25" r:id="rId10"/>
    <sheet name="UAT2-Feb" sheetId="62" r:id="rId11"/>
    <sheet name="UAT3-Mar" sheetId="50" r:id="rId12"/>
    <sheet name="UAT4-Apr" sheetId="63" r:id="rId13"/>
    <sheet name="UAT5-May" sheetId="64" r:id="rId14"/>
    <sheet name="UAT6-Jun" sheetId="66" r:id="rId15"/>
    <sheet name="UAT7-Jul" sheetId="67" r:id="rId16"/>
    <sheet name="UAT8-Aug" sheetId="68" r:id="rId17"/>
    <sheet name="UAT9-Sep" sheetId="70" r:id="rId18"/>
    <sheet name="UAT10-Oct" sheetId="71" r:id="rId19"/>
    <sheet name="UAT11-Nov" sheetId="72" r:id="rId20"/>
    <sheet name="UAT12-Dec" sheetId="73" r:id="rId21"/>
    <sheet name="UAT13-Jan" sheetId="74" r:id="rId22"/>
    <sheet name="Parallel Validation" sheetId="46" r:id="rId23"/>
    <sheet name="Confidentiality" sheetId="40" r:id="rId24"/>
  </sheets>
  <definedNames>
    <definedName name="_xlnm.Criteria" localSheetId="23">#REF!</definedName>
    <definedName name="_xlnm.Criteria" localSheetId="18">#REF!</definedName>
    <definedName name="_xlnm.Criteria" localSheetId="19">#REF!</definedName>
    <definedName name="_xlnm.Criteria" localSheetId="20">#REF!</definedName>
    <definedName name="_xlnm.Criteria" localSheetId="21">#REF!</definedName>
    <definedName name="_xlnm.Criteria" localSheetId="10">#REF!</definedName>
    <definedName name="_xlnm.Criteria" localSheetId="11">#REF!</definedName>
    <definedName name="_xlnm.Criteria" localSheetId="12">#REF!</definedName>
    <definedName name="_xlnm.Criteria" localSheetId="13">#REF!</definedName>
    <definedName name="_xlnm.Criteria" localSheetId="14">#REF!</definedName>
    <definedName name="_xlnm.Criteria" localSheetId="15">#REF!</definedName>
    <definedName name="_xlnm.Criteria" localSheetId="16">#REF!</definedName>
    <definedName name="_xlnm.Criteria" localSheetId="17">#REF!</definedName>
    <definedName name="_xlnm.Criteria">#REF!</definedName>
    <definedName name="crmstatus">'Data Validation HIDE'!$B$4:$B$5</definedName>
    <definedName name="cyclestatus">'Data Validation HIDE'!$A$4:$A$6</definedName>
    <definedName name="indexcategory">'Data Validation HIDE'!$A$22:$A$25</definedName>
    <definedName name="issstatus">'Data Validation HIDE'!$B$12:$B$13</definedName>
    <definedName name="issuecat">'UAT Issue Log'!$T$9:$T$9</definedName>
    <definedName name="_xlnm.Print_Area" localSheetId="23">#REF!</definedName>
    <definedName name="_xlnm.Print_Area" localSheetId="18">#REF!</definedName>
    <definedName name="_xlnm.Print_Area" localSheetId="19">#REF!</definedName>
    <definedName name="_xlnm.Print_Area" localSheetId="20">#REF!</definedName>
    <definedName name="_xlnm.Print_Area" localSheetId="21">#REF!</definedName>
    <definedName name="_xlnm.Print_Area" localSheetId="10">#REF!</definedName>
    <definedName name="_xlnm.Print_Area" localSheetId="11">#REF!</definedName>
    <definedName name="_xlnm.Print_Area" localSheetId="12">#REF!</definedName>
    <definedName name="_xlnm.Print_Area" localSheetId="13">#REF!</definedName>
    <definedName name="_xlnm.Print_Area" localSheetId="14">#REF!</definedName>
    <definedName name="_xlnm.Print_Area" localSheetId="15">#REF!</definedName>
    <definedName name="_xlnm.Print_Area" localSheetId="16">#REF!</definedName>
    <definedName name="_xlnm.Print_Area" localSheetId="17">#REF!</definedName>
    <definedName name="_xlnm.Print_Area">#REF!</definedName>
    <definedName name="_xlnm.Print_Titles" localSheetId="23">#REF!</definedName>
    <definedName name="_xlnm.Print_Titles" localSheetId="18">#REF!</definedName>
    <definedName name="_xlnm.Print_Titles" localSheetId="19">#REF!</definedName>
    <definedName name="_xlnm.Print_Titles" localSheetId="20">#REF!</definedName>
    <definedName name="_xlnm.Print_Titles" localSheetId="21">#REF!</definedName>
    <definedName name="_xlnm.Print_Titles" localSheetId="10">#REF!</definedName>
    <definedName name="_xlnm.Print_Titles" localSheetId="11">#REF!</definedName>
    <definedName name="_xlnm.Print_Titles" localSheetId="12">#REF!</definedName>
    <definedName name="_xlnm.Print_Titles" localSheetId="13">#REF!</definedName>
    <definedName name="_xlnm.Print_Titles" localSheetId="14">#REF!</definedName>
    <definedName name="_xlnm.Print_Titles" localSheetId="15">#REF!</definedName>
    <definedName name="_xlnm.Print_Titles" localSheetId="16">#REF!</definedName>
    <definedName name="_xlnm.Print_Titles" localSheetId="17">#REF!</definedName>
    <definedName name="_xlnm.Print_Titles">#REF!</definedName>
    <definedName name="WTinfotype">'WageType Location'!$R$13:$R$13</definedName>
    <definedName name="WTtype">'Data Validation HIDE'!$B$30:$B$37</definedName>
  </definedNames>
  <calcPr calcId="152511"/>
</workbook>
</file>

<file path=xl/calcChain.xml><?xml version="1.0" encoding="utf-8"?>
<calcChain xmlns="http://schemas.openxmlformats.org/spreadsheetml/2006/main">
  <c r="B85" i="25" l="1"/>
  <c r="P105" i="62" l="1"/>
  <c r="J105" i="62"/>
  <c r="J103" i="62"/>
  <c r="P103" i="62" s="1"/>
  <c r="J69" i="62"/>
  <c r="P69" i="62" s="1"/>
  <c r="J101" i="62"/>
  <c r="P101" i="62" s="1"/>
  <c r="J99" i="62"/>
  <c r="P99" i="62" s="1"/>
  <c r="C63" i="25"/>
  <c r="D63" i="25"/>
  <c r="E63" i="25"/>
  <c r="F63" i="25"/>
  <c r="G63" i="25"/>
  <c r="H63" i="25"/>
  <c r="I63" i="25"/>
  <c r="J63" i="25"/>
  <c r="K63" i="25"/>
  <c r="L63" i="25"/>
  <c r="M63" i="25"/>
  <c r="N63" i="25"/>
  <c r="O63" i="25"/>
  <c r="B63" i="25"/>
  <c r="B76" i="25" l="1"/>
  <c r="C74" i="62"/>
  <c r="N74" i="62"/>
  <c r="I53" i="62"/>
  <c r="J53" i="62"/>
  <c r="K53" i="62"/>
  <c r="L53" i="62"/>
  <c r="M53" i="62"/>
  <c r="N53" i="62"/>
  <c r="O53" i="62"/>
  <c r="C97" i="25" l="1"/>
  <c r="D97" i="25"/>
  <c r="E97" i="25"/>
  <c r="F97" i="25"/>
  <c r="G97" i="25"/>
  <c r="H97" i="25"/>
  <c r="I97" i="25"/>
  <c r="J97" i="25"/>
  <c r="K97" i="25"/>
  <c r="L97" i="25"/>
  <c r="M97" i="25"/>
  <c r="N97" i="25"/>
  <c r="O97" i="25"/>
  <c r="B97" i="25"/>
  <c r="I70" i="25"/>
  <c r="C138" i="25"/>
  <c r="D138" i="25"/>
  <c r="E138" i="25"/>
  <c r="F138" i="25"/>
  <c r="G138" i="25"/>
  <c r="H138" i="25"/>
  <c r="I138" i="25"/>
  <c r="J138" i="25"/>
  <c r="K138" i="25"/>
  <c r="L138" i="25"/>
  <c r="M138" i="25"/>
  <c r="N138" i="25"/>
  <c r="O138" i="25"/>
  <c r="B138" i="25"/>
  <c r="I47" i="25" l="1"/>
  <c r="J47" i="25"/>
  <c r="H51" i="25"/>
  <c r="H40" i="25"/>
  <c r="G51" i="25"/>
  <c r="F51" i="25"/>
  <c r="H70" i="25" l="1"/>
  <c r="N70" i="25" l="1"/>
  <c r="C70" i="25"/>
  <c r="G27" i="25" l="1"/>
  <c r="D69" i="1" l="1"/>
  <c r="E69" i="1"/>
  <c r="F69" i="1"/>
  <c r="G69" i="1"/>
  <c r="H69" i="1"/>
  <c r="I69" i="1"/>
  <c r="J69" i="1"/>
  <c r="K69" i="1"/>
  <c r="L69" i="1"/>
  <c r="M69" i="1"/>
  <c r="N69" i="1"/>
  <c r="O69" i="1"/>
  <c r="P69" i="1"/>
  <c r="C69" i="1"/>
  <c r="D65" i="1" l="1"/>
  <c r="E65" i="1"/>
  <c r="F65" i="1"/>
  <c r="G65" i="1"/>
  <c r="H65" i="1"/>
  <c r="I65" i="1"/>
  <c r="J65" i="1"/>
  <c r="K65" i="1"/>
  <c r="L65" i="1"/>
  <c r="M65" i="1"/>
  <c r="N65" i="1"/>
  <c r="O65" i="1"/>
  <c r="P65" i="1"/>
  <c r="C65" i="1"/>
  <c r="C13" i="25" l="1"/>
  <c r="H29" i="25" l="1"/>
  <c r="C29" i="25"/>
  <c r="B87" i="63" l="1"/>
  <c r="I36" i="25" l="1"/>
  <c r="I39" i="25"/>
  <c r="H39" i="25"/>
  <c r="C53" i="72" l="1"/>
  <c r="D53" i="72"/>
  <c r="E53" i="72"/>
  <c r="F53" i="72"/>
  <c r="G53" i="72"/>
  <c r="H53" i="72"/>
  <c r="I53" i="72"/>
  <c r="J53" i="72"/>
  <c r="K53" i="72"/>
  <c r="L53" i="72"/>
  <c r="M53" i="72"/>
  <c r="N53" i="72"/>
  <c r="O53" i="72"/>
  <c r="B53" i="72"/>
  <c r="C57" i="71"/>
  <c r="D57" i="71"/>
  <c r="E57" i="71"/>
  <c r="F57" i="71"/>
  <c r="G57" i="71"/>
  <c r="H57" i="71"/>
  <c r="I57" i="71"/>
  <c r="J57" i="71"/>
  <c r="K57" i="71"/>
  <c r="L57" i="71"/>
  <c r="M57" i="71"/>
  <c r="N57" i="71"/>
  <c r="O57" i="71"/>
  <c r="B57" i="71"/>
  <c r="C57" i="70"/>
  <c r="D57" i="70"/>
  <c r="E57" i="70"/>
  <c r="F57" i="70"/>
  <c r="G57" i="70"/>
  <c r="H57" i="70"/>
  <c r="I57" i="70"/>
  <c r="J57" i="70"/>
  <c r="K57" i="70"/>
  <c r="L57" i="70"/>
  <c r="M57" i="70"/>
  <c r="N57" i="70"/>
  <c r="O57" i="70"/>
  <c r="B57" i="70"/>
  <c r="C52" i="68"/>
  <c r="D52" i="68"/>
  <c r="E52" i="68"/>
  <c r="F52" i="68"/>
  <c r="G52" i="68"/>
  <c r="H52" i="68"/>
  <c r="I52" i="68"/>
  <c r="J52" i="68"/>
  <c r="K52" i="68"/>
  <c r="L52" i="68"/>
  <c r="M52" i="68"/>
  <c r="N52" i="68"/>
  <c r="O52" i="68"/>
  <c r="B52" i="68"/>
  <c r="C55" i="67"/>
  <c r="D55" i="67"/>
  <c r="E55" i="67"/>
  <c r="F55" i="67"/>
  <c r="G55" i="67"/>
  <c r="H55" i="67"/>
  <c r="I55" i="67"/>
  <c r="J55" i="67"/>
  <c r="K55" i="67"/>
  <c r="L55" i="67"/>
  <c r="M55" i="67"/>
  <c r="N55" i="67"/>
  <c r="O55" i="67"/>
  <c r="B55" i="67"/>
  <c r="C57" i="66"/>
  <c r="D57" i="66"/>
  <c r="E57" i="66"/>
  <c r="F57" i="66"/>
  <c r="G57" i="66"/>
  <c r="H57" i="66"/>
  <c r="I57" i="66"/>
  <c r="J57" i="66"/>
  <c r="K57" i="66"/>
  <c r="L57" i="66"/>
  <c r="M57" i="66"/>
  <c r="N57" i="66"/>
  <c r="O57" i="66"/>
  <c r="B57" i="66"/>
  <c r="D100" i="50"/>
  <c r="E100" i="50"/>
  <c r="G100" i="50"/>
  <c r="H100" i="50"/>
  <c r="I100" i="50"/>
  <c r="J100" i="50"/>
  <c r="K100" i="50"/>
  <c r="L100" i="50"/>
  <c r="M100" i="50"/>
  <c r="N100" i="50"/>
  <c r="O100" i="50"/>
  <c r="B100" i="50"/>
  <c r="C44" i="64"/>
  <c r="D44" i="64"/>
  <c r="E44" i="64"/>
  <c r="F44" i="64"/>
  <c r="G44" i="64"/>
  <c r="H44" i="64"/>
  <c r="I44" i="64"/>
  <c r="J44" i="64"/>
  <c r="K44" i="64"/>
  <c r="L44" i="64"/>
  <c r="M44" i="64"/>
  <c r="N44" i="64"/>
  <c r="O44" i="64"/>
  <c r="B44" i="64"/>
  <c r="J55" i="63"/>
  <c r="K55" i="63"/>
  <c r="L55" i="63"/>
  <c r="M55" i="63"/>
  <c r="N55" i="63"/>
  <c r="O55" i="63"/>
  <c r="I55" i="63"/>
  <c r="H55" i="63"/>
  <c r="C55" i="63"/>
  <c r="D55" i="63"/>
  <c r="E55" i="63"/>
  <c r="F55" i="63"/>
  <c r="G55" i="63"/>
  <c r="B55" i="63"/>
  <c r="C49" i="74"/>
  <c r="F49" i="74"/>
  <c r="G49" i="74"/>
  <c r="H49" i="74"/>
  <c r="I49" i="74"/>
  <c r="J49" i="74"/>
  <c r="K49" i="74"/>
  <c r="C52" i="73"/>
  <c r="F52" i="73"/>
  <c r="H52" i="73"/>
  <c r="I52" i="73"/>
  <c r="J52" i="73"/>
  <c r="K52" i="73"/>
  <c r="L52" i="73"/>
  <c r="D52" i="72"/>
  <c r="G52" i="72"/>
  <c r="I52" i="72"/>
  <c r="J52" i="72"/>
  <c r="K52" i="72"/>
  <c r="L52" i="72"/>
  <c r="M52" i="72"/>
  <c r="N52" i="72"/>
  <c r="O52" i="72"/>
  <c r="D56" i="71"/>
  <c r="G56" i="71"/>
  <c r="I56" i="71"/>
  <c r="J56" i="71"/>
  <c r="K56" i="71"/>
  <c r="L56" i="71"/>
  <c r="M56" i="71"/>
  <c r="N56" i="71"/>
  <c r="O56" i="71"/>
  <c r="D54" i="70"/>
  <c r="D55" i="70"/>
  <c r="D56" i="70"/>
  <c r="G56" i="70"/>
  <c r="I56" i="70"/>
  <c r="J56" i="70"/>
  <c r="K56" i="70"/>
  <c r="L56" i="70"/>
  <c r="M56" i="70"/>
  <c r="N56" i="70"/>
  <c r="O56" i="70"/>
  <c r="D123" i="70"/>
  <c r="D50" i="70"/>
  <c r="D51" i="70"/>
  <c r="D52" i="70"/>
  <c r="D64" i="70"/>
  <c r="D65" i="70"/>
  <c r="D66" i="70"/>
  <c r="D45" i="68"/>
  <c r="D46" i="68"/>
  <c r="D47" i="68"/>
  <c r="D51" i="68"/>
  <c r="G51" i="68"/>
  <c r="I51" i="68"/>
  <c r="J51" i="68"/>
  <c r="K51" i="68"/>
  <c r="L51" i="68"/>
  <c r="M51" i="68"/>
  <c r="N51" i="68"/>
  <c r="O51" i="68"/>
  <c r="D54" i="67"/>
  <c r="G54" i="67"/>
  <c r="I54" i="67"/>
  <c r="J54" i="67"/>
  <c r="K54" i="67"/>
  <c r="L54" i="67"/>
  <c r="M54" i="67"/>
  <c r="N54" i="67"/>
  <c r="O54" i="67"/>
  <c r="D64" i="66"/>
  <c r="D65" i="66"/>
  <c r="D66" i="66"/>
  <c r="D49" i="66"/>
  <c r="D50" i="66"/>
  <c r="D51" i="66"/>
  <c r="D56" i="66"/>
  <c r="G56" i="66"/>
  <c r="I56" i="66"/>
  <c r="J56" i="66"/>
  <c r="K56" i="66"/>
  <c r="L56" i="66"/>
  <c r="M56" i="66"/>
  <c r="N56" i="66"/>
  <c r="O56" i="66"/>
  <c r="O41" i="64"/>
  <c r="D43" i="64"/>
  <c r="G43" i="64"/>
  <c r="I43" i="64"/>
  <c r="J43" i="64"/>
  <c r="K43" i="64"/>
  <c r="L43" i="64"/>
  <c r="M43" i="64"/>
  <c r="N43" i="64"/>
  <c r="O43" i="64"/>
  <c r="I52" i="63"/>
  <c r="J52" i="63"/>
  <c r="K52" i="63"/>
  <c r="L52" i="63"/>
  <c r="M52" i="63"/>
  <c r="N52" i="63"/>
  <c r="O52" i="63"/>
  <c r="D54" i="63"/>
  <c r="G54" i="63"/>
  <c r="I54" i="63"/>
  <c r="J54" i="63"/>
  <c r="K54" i="63"/>
  <c r="L54" i="63"/>
  <c r="M54" i="63"/>
  <c r="N54" i="63"/>
  <c r="O54" i="63"/>
  <c r="D52" i="50"/>
  <c r="I52" i="50"/>
  <c r="J52" i="50"/>
  <c r="K52" i="50"/>
  <c r="L52" i="50"/>
  <c r="M52" i="50"/>
  <c r="N52" i="50"/>
  <c r="O52" i="50"/>
  <c r="D54" i="50"/>
  <c r="I54" i="50"/>
  <c r="J54" i="50"/>
  <c r="K54" i="50"/>
  <c r="L54" i="50"/>
  <c r="M54" i="50"/>
  <c r="N54" i="50"/>
  <c r="O54" i="50"/>
  <c r="D55" i="62"/>
  <c r="G55" i="62"/>
  <c r="I55" i="62"/>
  <c r="J55" i="62"/>
  <c r="K55" i="62"/>
  <c r="L55" i="62"/>
  <c r="M55" i="62"/>
  <c r="N55" i="62"/>
  <c r="O55" i="62"/>
  <c r="H133" i="62"/>
  <c r="C133" i="62"/>
  <c r="B133" i="62"/>
  <c r="H126" i="25"/>
  <c r="C126" i="25"/>
  <c r="B126" i="25"/>
  <c r="D50" i="25" l="1"/>
  <c r="I50" i="25"/>
  <c r="J50" i="25"/>
  <c r="K50" i="25"/>
  <c r="L50" i="25"/>
  <c r="M50" i="25"/>
  <c r="N50" i="25"/>
  <c r="O50" i="25"/>
  <c r="D52" i="25"/>
  <c r="I52" i="25"/>
  <c r="J52" i="25"/>
  <c r="K52" i="25"/>
  <c r="L52" i="25"/>
  <c r="M52" i="25"/>
  <c r="N52" i="25"/>
  <c r="O52" i="25"/>
  <c r="B7" i="43" l="1"/>
  <c r="G18" i="74"/>
  <c r="G15" i="74"/>
  <c r="Z54" i="74" l="1"/>
  <c r="O97" i="64"/>
  <c r="O132" i="66" s="1"/>
  <c r="O96" i="64"/>
  <c r="O131" i="66" s="1"/>
  <c r="I91" i="74"/>
  <c r="I77" i="74"/>
  <c r="J140" i="73"/>
  <c r="J101" i="73" s="1"/>
  <c r="J100" i="73"/>
  <c r="J83" i="73"/>
  <c r="I22" i="73"/>
  <c r="F22" i="73"/>
  <c r="B97" i="70"/>
  <c r="AD118" i="70"/>
  <c r="C17" i="70"/>
  <c r="E17" i="70"/>
  <c r="F17" i="70"/>
  <c r="G17" i="70"/>
  <c r="H17" i="70"/>
  <c r="I17" i="70"/>
  <c r="J17" i="70"/>
  <c r="K17" i="70"/>
  <c r="L17" i="70"/>
  <c r="M17" i="70"/>
  <c r="N17" i="70"/>
  <c r="O17" i="70"/>
  <c r="B17" i="70"/>
  <c r="C97" i="70"/>
  <c r="AD119" i="70"/>
  <c r="J45" i="73" l="1"/>
  <c r="J46" i="73"/>
  <c r="J47" i="73"/>
  <c r="I58" i="74"/>
  <c r="I43" i="74"/>
  <c r="I44" i="74"/>
  <c r="I45" i="74"/>
  <c r="I57" i="74"/>
  <c r="I56" i="74"/>
  <c r="J59" i="73"/>
  <c r="J60" i="73"/>
  <c r="J61" i="73"/>
  <c r="H118" i="70"/>
  <c r="H56" i="70" s="1"/>
  <c r="H117" i="70"/>
  <c r="D21" i="73"/>
  <c r="D20" i="73"/>
  <c r="D18" i="73"/>
  <c r="D16" i="73"/>
  <c r="C11" i="71" l="1"/>
  <c r="D11" i="71"/>
  <c r="E11" i="71"/>
  <c r="F11" i="71"/>
  <c r="G11" i="71"/>
  <c r="H11" i="71"/>
  <c r="I11" i="71"/>
  <c r="J11" i="71"/>
  <c r="K11" i="71"/>
  <c r="L11" i="71"/>
  <c r="M11" i="71"/>
  <c r="N11" i="71"/>
  <c r="O11" i="71"/>
  <c r="D151" i="71"/>
  <c r="D150" i="71"/>
  <c r="D133" i="72"/>
  <c r="D132" i="72"/>
  <c r="D130" i="72"/>
  <c r="D115" i="70"/>
  <c r="D87" i="68"/>
  <c r="O160" i="71" l="1"/>
  <c r="O177" i="71"/>
  <c r="G160" i="71"/>
  <c r="G177" i="71"/>
  <c r="C95" i="67"/>
  <c r="D95" i="67"/>
  <c r="E95" i="67"/>
  <c r="F95" i="67"/>
  <c r="G95" i="67"/>
  <c r="H95" i="67"/>
  <c r="I95" i="67"/>
  <c r="J95" i="67"/>
  <c r="K95" i="67"/>
  <c r="L95" i="67"/>
  <c r="M95" i="67"/>
  <c r="O95" i="67"/>
  <c r="B95" i="67"/>
  <c r="D94" i="67"/>
  <c r="C179" i="71"/>
  <c r="C71" i="71" s="1"/>
  <c r="D179" i="71"/>
  <c r="D71" i="71" s="1"/>
  <c r="D53" i="66"/>
  <c r="P53" i="66" s="1"/>
  <c r="O62" i="50"/>
  <c r="D166" i="71"/>
  <c r="D165" i="71"/>
  <c r="D163" i="71"/>
  <c r="E36" i="71"/>
  <c r="H99" i="71"/>
  <c r="E99" i="71"/>
  <c r="E181" i="70"/>
  <c r="E179" i="71" s="1"/>
  <c r="E71" i="71" s="1"/>
  <c r="C93" i="70"/>
  <c r="D34" i="67"/>
  <c r="P34" i="67" s="1"/>
  <c r="D19" i="66"/>
  <c r="D16" i="66"/>
  <c r="A45" i="38"/>
  <c r="A46" i="38" s="1"/>
  <c r="A47" i="38" s="1"/>
  <c r="A48" i="38" s="1"/>
  <c r="A49" i="38" s="1"/>
  <c r="A50" i="38" s="1"/>
  <c r="A51" i="38" s="1"/>
  <c r="A52" i="38" s="1"/>
  <c r="A53" i="38" s="1"/>
  <c r="A54" i="38" s="1"/>
  <c r="A55" i="38" s="1"/>
  <c r="A56" i="38" s="1"/>
  <c r="A57" i="38" s="1"/>
  <c r="A58" i="38" s="1"/>
  <c r="A59" i="38" s="1"/>
  <c r="A60" i="38" s="1"/>
  <c r="A61" i="38" s="1"/>
  <c r="A62" i="38" s="1"/>
  <c r="A63" i="38" s="1"/>
  <c r="A64" i="38" s="1"/>
  <c r="A65" i="38" s="1"/>
  <c r="A66" i="38" s="1"/>
  <c r="A67" i="38" s="1"/>
  <c r="A68" i="38" s="1"/>
  <c r="A69" i="38" s="1"/>
  <c r="A70" i="38" s="1"/>
  <c r="A71" i="38" s="1"/>
  <c r="D42" i="41" l="1"/>
  <c r="D39" i="41"/>
  <c r="D30" i="41"/>
  <c r="D21" i="41"/>
  <c r="D18" i="41"/>
  <c r="E104" i="1" l="1"/>
  <c r="E100" i="1"/>
  <c r="D117" i="62"/>
  <c r="D116" i="50" s="1"/>
  <c r="D123" i="63" s="1"/>
  <c r="E117" i="62"/>
  <c r="E116" i="50" s="1"/>
  <c r="E123" i="63" s="1"/>
  <c r="F117" i="62"/>
  <c r="F116" i="50" s="1"/>
  <c r="F123" i="63" s="1"/>
  <c r="G117" i="62"/>
  <c r="G116" i="50" s="1"/>
  <c r="G123" i="63" s="1"/>
  <c r="H117" i="62"/>
  <c r="H116" i="50" s="1"/>
  <c r="H123" i="63" s="1"/>
  <c r="I117" i="62"/>
  <c r="I116" i="50" s="1"/>
  <c r="I123" i="63" s="1"/>
  <c r="J117" i="62"/>
  <c r="J116" i="50" s="1"/>
  <c r="J123" i="63" s="1"/>
  <c r="K117" i="62"/>
  <c r="K116" i="50" s="1"/>
  <c r="K123" i="63" s="1"/>
  <c r="L117" i="62"/>
  <c r="L116" i="50" s="1"/>
  <c r="L123" i="63" s="1"/>
  <c r="M117" i="62"/>
  <c r="M116" i="50" s="1"/>
  <c r="M123" i="63" s="1"/>
  <c r="N117" i="62"/>
  <c r="N116" i="50" s="1"/>
  <c r="N123" i="63" s="1"/>
  <c r="O117" i="62"/>
  <c r="O116" i="50" s="1"/>
  <c r="O123" i="63" s="1"/>
  <c r="C118" i="62"/>
  <c r="C117" i="50" s="1"/>
  <c r="C124" i="63" s="1"/>
  <c r="D118" i="62"/>
  <c r="D117" i="50" s="1"/>
  <c r="D124" i="63" s="1"/>
  <c r="E118" i="62"/>
  <c r="E117" i="50" s="1"/>
  <c r="E124" i="63" s="1"/>
  <c r="F118" i="62"/>
  <c r="F117" i="50" s="1"/>
  <c r="F124" i="63" s="1"/>
  <c r="G118" i="62"/>
  <c r="G117" i="50" s="1"/>
  <c r="G124" i="63" s="1"/>
  <c r="H118" i="62"/>
  <c r="H117" i="50" s="1"/>
  <c r="H124" i="63" s="1"/>
  <c r="I118" i="62"/>
  <c r="I117" i="50" s="1"/>
  <c r="I124" i="63" s="1"/>
  <c r="J118" i="62"/>
  <c r="J117" i="50" s="1"/>
  <c r="J124" i="63" s="1"/>
  <c r="K118" i="62"/>
  <c r="K117" i="50" s="1"/>
  <c r="K124" i="63" s="1"/>
  <c r="L118" i="62"/>
  <c r="L117" i="50" s="1"/>
  <c r="L124" i="63" s="1"/>
  <c r="M118" i="62"/>
  <c r="M117" i="50" s="1"/>
  <c r="M124" i="63" s="1"/>
  <c r="N118" i="62"/>
  <c r="N117" i="50" s="1"/>
  <c r="N124" i="63" s="1"/>
  <c r="O118" i="62"/>
  <c r="O117" i="50" s="1"/>
  <c r="O124" i="63" s="1"/>
  <c r="C119" i="62"/>
  <c r="C118" i="50" s="1"/>
  <c r="C125" i="63" s="1"/>
  <c r="D119" i="62"/>
  <c r="D118" i="50" s="1"/>
  <c r="D125" i="63" s="1"/>
  <c r="E119" i="62"/>
  <c r="E118" i="50" s="1"/>
  <c r="E125" i="63" s="1"/>
  <c r="F119" i="62"/>
  <c r="F118" i="50" s="1"/>
  <c r="F125" i="63" s="1"/>
  <c r="G119" i="62"/>
  <c r="G118" i="50" s="1"/>
  <c r="G125" i="63" s="1"/>
  <c r="H119" i="62"/>
  <c r="H118" i="50" s="1"/>
  <c r="H125" i="63" s="1"/>
  <c r="I119" i="62"/>
  <c r="I118" i="50" s="1"/>
  <c r="I125" i="63" s="1"/>
  <c r="J119" i="62"/>
  <c r="J118" i="50" s="1"/>
  <c r="J125" i="63" s="1"/>
  <c r="K119" i="62"/>
  <c r="K118" i="50" s="1"/>
  <c r="K125" i="63" s="1"/>
  <c r="L119" i="62"/>
  <c r="L118" i="50" s="1"/>
  <c r="L125" i="63" s="1"/>
  <c r="M119" i="62"/>
  <c r="M118" i="50" s="1"/>
  <c r="M125" i="63" s="1"/>
  <c r="N119" i="62"/>
  <c r="N118" i="50" s="1"/>
  <c r="N125" i="63" s="1"/>
  <c r="O119" i="62"/>
  <c r="O118" i="50" s="1"/>
  <c r="O125" i="63" s="1"/>
  <c r="B117" i="62"/>
  <c r="B116" i="50" s="1"/>
  <c r="B123" i="63" s="1"/>
  <c r="B118" i="62"/>
  <c r="B117" i="50" s="1"/>
  <c r="B124" i="63" s="1"/>
  <c r="B119" i="62"/>
  <c r="B118" i="50" s="1"/>
  <c r="B125" i="63" s="1"/>
  <c r="C146" i="72" l="1"/>
  <c r="C67" i="72" s="1"/>
  <c r="F179" i="71"/>
  <c r="F71" i="71" s="1"/>
  <c r="G179" i="71"/>
  <c r="I179" i="71"/>
  <c r="J179" i="71"/>
  <c r="J71" i="71" s="1"/>
  <c r="K179" i="71"/>
  <c r="L179" i="71"/>
  <c r="M179" i="71"/>
  <c r="M71" i="71" s="1"/>
  <c r="N179" i="71"/>
  <c r="N71" i="71" s="1"/>
  <c r="O179" i="71"/>
  <c r="C71" i="70"/>
  <c r="E71" i="70"/>
  <c r="F71" i="70"/>
  <c r="I71" i="70"/>
  <c r="K71" i="70"/>
  <c r="L71" i="70"/>
  <c r="N71" i="70"/>
  <c r="B71" i="70"/>
  <c r="E76" i="50"/>
  <c r="E69" i="63" s="1"/>
  <c r="E58" i="64" s="1"/>
  <c r="E71" i="66" s="1"/>
  <c r="E69" i="67" s="1"/>
  <c r="E66" i="68" s="1"/>
  <c r="C76" i="50" l="1"/>
  <c r="C69" i="63" s="1"/>
  <c r="C58" i="64" s="1"/>
  <c r="C71" i="66" s="1"/>
  <c r="C69" i="67" s="1"/>
  <c r="C66" i="68" s="1"/>
  <c r="K76" i="50"/>
  <c r="K69" i="63" s="1"/>
  <c r="K58" i="64" s="1"/>
  <c r="K71" i="66" s="1"/>
  <c r="K69" i="67" s="1"/>
  <c r="K66" i="68" s="1"/>
  <c r="N76" i="50"/>
  <c r="N69" i="63" s="1"/>
  <c r="N58" i="64" s="1"/>
  <c r="N71" i="66" s="1"/>
  <c r="N69" i="67" s="1"/>
  <c r="N66" i="68" s="1"/>
  <c r="L76" i="50"/>
  <c r="L69" i="63" s="1"/>
  <c r="L58" i="64" s="1"/>
  <c r="L71" i="66" s="1"/>
  <c r="L69" i="67" s="1"/>
  <c r="L66" i="68" s="1"/>
  <c r="F76" i="50"/>
  <c r="F69" i="63" s="1"/>
  <c r="F58" i="64" s="1"/>
  <c r="F71" i="66" s="1"/>
  <c r="F69" i="67" s="1"/>
  <c r="F66" i="68" s="1"/>
  <c r="B76" i="50"/>
  <c r="B69" i="63" s="1"/>
  <c r="B58" i="64" s="1"/>
  <c r="B71" i="66" s="1"/>
  <c r="B69" i="67" s="1"/>
  <c r="B66" i="68" s="1"/>
  <c r="L146" i="72"/>
  <c r="L67" i="72" s="1"/>
  <c r="J66" i="73" s="1"/>
  <c r="J64" i="74" s="1"/>
  <c r="L71" i="71"/>
  <c r="G146" i="72"/>
  <c r="G71" i="71"/>
  <c r="O146" i="72"/>
  <c r="O71" i="71"/>
  <c r="K146" i="72"/>
  <c r="K67" i="72" s="1"/>
  <c r="I66" i="73" s="1"/>
  <c r="I64" i="74" s="1"/>
  <c r="K71" i="71"/>
  <c r="I146" i="72"/>
  <c r="I67" i="72" s="1"/>
  <c r="G66" i="73" s="1"/>
  <c r="G64" i="74" s="1"/>
  <c r="I71" i="71"/>
  <c r="E146" i="72"/>
  <c r="E67" i="72" s="1"/>
  <c r="D66" i="73" s="1"/>
  <c r="D64" i="74" s="1"/>
  <c r="M146" i="72"/>
  <c r="N146" i="72"/>
  <c r="N67" i="72" s="1"/>
  <c r="J146" i="72"/>
  <c r="F146" i="72"/>
  <c r="F67" i="72" s="1"/>
  <c r="E66" i="73" s="1"/>
  <c r="E64" i="74" s="1"/>
  <c r="D13" i="66"/>
  <c r="D132" i="66" l="1"/>
  <c r="D131" i="66"/>
  <c r="F9" i="41"/>
  <c r="E9" i="41"/>
  <c r="D12" i="41" s="1"/>
  <c r="E12" i="41" l="1"/>
  <c r="D15" i="41" s="1"/>
  <c r="F12" i="41" l="1"/>
  <c r="E15" i="41"/>
  <c r="F15" i="41" l="1"/>
  <c r="E18" i="41"/>
  <c r="F18" i="41" l="1"/>
  <c r="E21" i="41"/>
  <c r="D24" i="41" s="1"/>
  <c r="F21" i="41" l="1"/>
  <c r="E24" i="41"/>
  <c r="D27" i="41" s="1"/>
  <c r="F24" i="41" l="1"/>
  <c r="E27" i="41"/>
  <c r="F27" i="41" l="1"/>
  <c r="E30" i="41"/>
  <c r="D33" i="41" s="1"/>
  <c r="F30" i="41" l="1"/>
  <c r="E33" i="41"/>
  <c r="D36" i="41" s="1"/>
  <c r="F33" i="41" l="1"/>
  <c r="E36" i="41"/>
  <c r="E39" i="41" l="1"/>
  <c r="F36" i="41"/>
  <c r="F39" i="41" l="1"/>
  <c r="E42" i="41"/>
  <c r="D45" i="41" s="1"/>
  <c r="F45" i="41" s="1"/>
  <c r="F42" i="41" l="1"/>
  <c r="G104" i="1" l="1"/>
  <c r="H104" i="1"/>
  <c r="J104" i="1"/>
  <c r="K104" i="1"/>
  <c r="L104" i="1"/>
  <c r="M104" i="1"/>
  <c r="N104" i="1"/>
  <c r="P104" i="1"/>
  <c r="G100" i="1"/>
  <c r="H100" i="1"/>
  <c r="J100" i="1"/>
  <c r="K100" i="1"/>
  <c r="L100" i="1"/>
  <c r="M100" i="1"/>
  <c r="N100" i="1"/>
  <c r="P100" i="1"/>
  <c r="C104" i="1"/>
  <c r="C100" i="1"/>
  <c r="K116" i="74"/>
  <c r="J116" i="74"/>
  <c r="I116" i="74"/>
  <c r="H116" i="74"/>
  <c r="G116" i="74"/>
  <c r="F116" i="74"/>
  <c r="E116" i="74"/>
  <c r="D116" i="74"/>
  <c r="C116" i="74"/>
  <c r="B116" i="74"/>
  <c r="Z53" i="73"/>
  <c r="E80" i="73" s="1"/>
  <c r="E118" i="67"/>
  <c r="F118" i="67"/>
  <c r="G118" i="67"/>
  <c r="H118" i="67"/>
  <c r="I118" i="67"/>
  <c r="J118" i="67"/>
  <c r="K118" i="67"/>
  <c r="L118" i="67"/>
  <c r="M118" i="67"/>
  <c r="N118" i="67"/>
  <c r="O118" i="67"/>
  <c r="E119" i="67"/>
  <c r="F119" i="67"/>
  <c r="G119" i="67"/>
  <c r="H119" i="67"/>
  <c r="I119" i="67"/>
  <c r="J119" i="67"/>
  <c r="K119" i="67"/>
  <c r="L119" i="67"/>
  <c r="M119" i="67"/>
  <c r="N119" i="67"/>
  <c r="O119" i="67"/>
  <c r="L116" i="74" l="1"/>
  <c r="K129" i="74"/>
  <c r="K128" i="74"/>
  <c r="L66" i="74"/>
  <c r="F87" i="74"/>
  <c r="F86" i="74"/>
  <c r="K32" i="74"/>
  <c r="E32" i="74"/>
  <c r="K22" i="74"/>
  <c r="J22" i="74"/>
  <c r="I22" i="74"/>
  <c r="H22" i="74"/>
  <c r="G22" i="74"/>
  <c r="F22" i="74"/>
  <c r="E22" i="74"/>
  <c r="D22" i="74"/>
  <c r="C22" i="74"/>
  <c r="B22" i="74"/>
  <c r="K20" i="74"/>
  <c r="J20" i="74"/>
  <c r="H20" i="74"/>
  <c r="G20" i="74"/>
  <c r="F20" i="74"/>
  <c r="E20" i="74"/>
  <c r="D20" i="74"/>
  <c r="C20" i="74"/>
  <c r="B20" i="74"/>
  <c r="I19" i="74"/>
  <c r="H19" i="74"/>
  <c r="F19" i="74"/>
  <c r="D19" i="74"/>
  <c r="B19" i="74"/>
  <c r="K18" i="74"/>
  <c r="J18" i="74"/>
  <c r="I18" i="74"/>
  <c r="H18" i="74"/>
  <c r="F18" i="74"/>
  <c r="E18" i="74"/>
  <c r="E85" i="74" s="1"/>
  <c r="E49" i="74" s="1"/>
  <c r="D18" i="74"/>
  <c r="C18" i="74"/>
  <c r="B18" i="74"/>
  <c r="K17" i="74"/>
  <c r="K83" i="74" s="1"/>
  <c r="J17" i="74"/>
  <c r="J83" i="74" s="1"/>
  <c r="I17" i="74"/>
  <c r="H17" i="74"/>
  <c r="H83" i="74" s="1"/>
  <c r="G17" i="74"/>
  <c r="G83" i="74" s="1"/>
  <c r="F17" i="74"/>
  <c r="F83" i="74" s="1"/>
  <c r="E17" i="74"/>
  <c r="E83" i="74" s="1"/>
  <c r="D17" i="74"/>
  <c r="D83" i="74" s="1"/>
  <c r="C17" i="74"/>
  <c r="C83" i="74" s="1"/>
  <c r="B17" i="74"/>
  <c r="B83" i="74" s="1"/>
  <c r="K15" i="74"/>
  <c r="K82" i="74" s="1"/>
  <c r="J15" i="74"/>
  <c r="J82" i="74" s="1"/>
  <c r="I15" i="74"/>
  <c r="I82" i="74" s="1"/>
  <c r="H15" i="74"/>
  <c r="G82" i="74"/>
  <c r="F15" i="74"/>
  <c r="F82" i="74" s="1"/>
  <c r="E15" i="74"/>
  <c r="D15" i="74"/>
  <c r="D82" i="74" s="1"/>
  <c r="C15" i="74"/>
  <c r="B15" i="74"/>
  <c r="B82" i="74" s="1"/>
  <c r="K14" i="74"/>
  <c r="J14" i="74"/>
  <c r="I14" i="74"/>
  <c r="I78" i="74" s="1"/>
  <c r="H14" i="74"/>
  <c r="G14" i="74"/>
  <c r="F14" i="74"/>
  <c r="E14" i="74"/>
  <c r="D14" i="74"/>
  <c r="C14" i="74"/>
  <c r="B14" i="74"/>
  <c r="K13" i="74"/>
  <c r="J13" i="74"/>
  <c r="I13" i="74"/>
  <c r="H13" i="74"/>
  <c r="G13" i="74"/>
  <c r="F13" i="74"/>
  <c r="E13" i="74"/>
  <c r="D13" i="74"/>
  <c r="C13" i="74"/>
  <c r="B13" i="74"/>
  <c r="K12" i="74"/>
  <c r="J12" i="74"/>
  <c r="I12" i="74"/>
  <c r="H12" i="74"/>
  <c r="G12" i="74"/>
  <c r="F12" i="74"/>
  <c r="E12" i="74"/>
  <c r="D12" i="74"/>
  <c r="C12" i="74"/>
  <c r="B12" i="74"/>
  <c r="K8" i="74"/>
  <c r="J8" i="74"/>
  <c r="I8" i="74"/>
  <c r="H8" i="74"/>
  <c r="G8" i="74"/>
  <c r="F8" i="74"/>
  <c r="E8" i="74"/>
  <c r="D8" i="74"/>
  <c r="C8" i="74"/>
  <c r="B8" i="74"/>
  <c r="C19" i="73"/>
  <c r="E19" i="73"/>
  <c r="E93" i="73" s="1"/>
  <c r="E52" i="73" s="1"/>
  <c r="F19" i="73"/>
  <c r="G19" i="73"/>
  <c r="H19" i="73"/>
  <c r="I19" i="73"/>
  <c r="J19" i="73"/>
  <c r="K19" i="73"/>
  <c r="L19" i="73"/>
  <c r="B19" i="73"/>
  <c r="C15" i="73"/>
  <c r="C89" i="73" s="1"/>
  <c r="D89" i="73"/>
  <c r="E15" i="73"/>
  <c r="F15" i="73"/>
  <c r="G15" i="73"/>
  <c r="G89" i="73" s="1"/>
  <c r="H15" i="73"/>
  <c r="H89" i="73" s="1"/>
  <c r="I15" i="73"/>
  <c r="J15" i="73"/>
  <c r="J89" i="73" s="1"/>
  <c r="K15" i="73"/>
  <c r="K89" i="73" s="1"/>
  <c r="L15" i="73"/>
  <c r="B15" i="73"/>
  <c r="B89" i="73" s="1"/>
  <c r="L130" i="73"/>
  <c r="L129" i="73"/>
  <c r="M68" i="73"/>
  <c r="G96" i="73"/>
  <c r="G95" i="73"/>
  <c r="L32" i="73"/>
  <c r="F32" i="73"/>
  <c r="L24" i="73"/>
  <c r="K24" i="73"/>
  <c r="J24" i="73"/>
  <c r="I24" i="73"/>
  <c r="H24" i="73"/>
  <c r="G24" i="73"/>
  <c r="F24" i="73"/>
  <c r="E24" i="73"/>
  <c r="D24" i="73"/>
  <c r="C24" i="73"/>
  <c r="B24" i="73"/>
  <c r="L22" i="73"/>
  <c r="K22" i="73"/>
  <c r="H22" i="73"/>
  <c r="G22" i="73"/>
  <c r="E22" i="73"/>
  <c r="D22" i="73"/>
  <c r="D141" i="73" s="1"/>
  <c r="C22" i="73"/>
  <c r="B22" i="73"/>
  <c r="J21" i="73"/>
  <c r="I21" i="73"/>
  <c r="G21" i="73"/>
  <c r="E21" i="73"/>
  <c r="B21" i="73"/>
  <c r="L18" i="73"/>
  <c r="L90" i="73" s="1"/>
  <c r="K18" i="73"/>
  <c r="K90" i="73" s="1"/>
  <c r="J18" i="73"/>
  <c r="I18" i="73"/>
  <c r="H18" i="73"/>
  <c r="H90" i="73" s="1"/>
  <c r="G18" i="73"/>
  <c r="G90" i="73" s="1"/>
  <c r="F18" i="73"/>
  <c r="F90" i="73" s="1"/>
  <c r="E18" i="73"/>
  <c r="E90" i="73" s="1"/>
  <c r="D90" i="73"/>
  <c r="C18" i="73"/>
  <c r="B18" i="73"/>
  <c r="B90" i="73" s="1"/>
  <c r="L14" i="73"/>
  <c r="K14" i="73"/>
  <c r="J14" i="73"/>
  <c r="J84" i="73" s="1"/>
  <c r="I14" i="73"/>
  <c r="I84" i="73" s="1"/>
  <c r="H14" i="73"/>
  <c r="G14" i="73"/>
  <c r="F14" i="73"/>
  <c r="E14" i="73"/>
  <c r="D14" i="73"/>
  <c r="C14" i="73"/>
  <c r="B14" i="73"/>
  <c r="L13" i="73"/>
  <c r="K13" i="73"/>
  <c r="J13" i="73"/>
  <c r="I13" i="73"/>
  <c r="H13" i="73"/>
  <c r="G13" i="73"/>
  <c r="F13" i="73"/>
  <c r="E13" i="73"/>
  <c r="D13" i="73"/>
  <c r="C13" i="73"/>
  <c r="B13" i="73"/>
  <c r="L12" i="73"/>
  <c r="K12" i="73"/>
  <c r="J12" i="73"/>
  <c r="I12" i="73"/>
  <c r="H12" i="73"/>
  <c r="G12" i="73"/>
  <c r="F12" i="73"/>
  <c r="E12" i="73"/>
  <c r="C12" i="73"/>
  <c r="B12" i="73"/>
  <c r="L8" i="73"/>
  <c r="K8" i="73"/>
  <c r="J8" i="73"/>
  <c r="I8" i="73"/>
  <c r="H8" i="73"/>
  <c r="G8" i="73"/>
  <c r="F8" i="73"/>
  <c r="E8" i="73"/>
  <c r="D8" i="73"/>
  <c r="C8" i="73"/>
  <c r="B8" i="73"/>
  <c r="D62" i="74" l="1"/>
  <c r="D140" i="74"/>
  <c r="H140" i="74"/>
  <c r="E62" i="74"/>
  <c r="E122" i="74"/>
  <c r="E140" i="74"/>
  <c r="B140" i="74"/>
  <c r="F62" i="74"/>
  <c r="J62" i="74"/>
  <c r="C62" i="74"/>
  <c r="C140" i="74"/>
  <c r="G140" i="74"/>
  <c r="K62" i="74"/>
  <c r="K122" i="74"/>
  <c r="G52" i="73"/>
  <c r="B141" i="73"/>
  <c r="C141" i="73"/>
  <c r="L141" i="73"/>
  <c r="L124" i="73"/>
  <c r="F141" i="73"/>
  <c r="F124" i="73"/>
  <c r="H141" i="73"/>
  <c r="E141" i="73"/>
  <c r="I141" i="73"/>
  <c r="K141" i="73"/>
  <c r="I62" i="74"/>
  <c r="B62" i="74"/>
  <c r="I83" i="74"/>
  <c r="L83" i="74" s="1"/>
  <c r="I79" i="74"/>
  <c r="J90" i="73"/>
  <c r="J85" i="73"/>
  <c r="J86" i="73"/>
  <c r="I83" i="73"/>
  <c r="I85" i="73"/>
  <c r="I86" i="73"/>
  <c r="I90" i="73"/>
  <c r="L17" i="73"/>
  <c r="L100" i="73" s="1"/>
  <c r="L89" i="73"/>
  <c r="E17" i="73"/>
  <c r="E100" i="73" s="1"/>
  <c r="E89" i="73"/>
  <c r="I17" i="73"/>
  <c r="I89" i="73"/>
  <c r="D93" i="73"/>
  <c r="D52" i="73" s="1"/>
  <c r="F17" i="73"/>
  <c r="F89" i="73"/>
  <c r="E119" i="74"/>
  <c r="E120" i="74"/>
  <c r="C16" i="74"/>
  <c r="C91" i="74" s="1"/>
  <c r="C82" i="74"/>
  <c r="B120" i="74"/>
  <c r="B119" i="74"/>
  <c r="F120" i="74"/>
  <c r="F119" i="74"/>
  <c r="J120" i="74"/>
  <c r="J119" i="74"/>
  <c r="H16" i="74"/>
  <c r="H91" i="74" s="1"/>
  <c r="H82" i="74"/>
  <c r="H62" i="74" s="1"/>
  <c r="I120" i="74"/>
  <c r="I119" i="74"/>
  <c r="C120" i="74"/>
  <c r="C119" i="74"/>
  <c r="G120" i="74"/>
  <c r="G119" i="74"/>
  <c r="E16" i="74"/>
  <c r="E82" i="74"/>
  <c r="D120" i="74"/>
  <c r="D119" i="74"/>
  <c r="H120" i="74"/>
  <c r="H119" i="74"/>
  <c r="B140" i="73"/>
  <c r="B101" i="73" s="1"/>
  <c r="F28" i="73"/>
  <c r="C140" i="73"/>
  <c r="K140" i="73"/>
  <c r="K101" i="73" s="1"/>
  <c r="D140" i="73"/>
  <c r="D101" i="73" s="1"/>
  <c r="H140" i="73"/>
  <c r="H101" i="73" s="1"/>
  <c r="L140" i="73"/>
  <c r="L101" i="73" s="1"/>
  <c r="L28" i="73"/>
  <c r="E140" i="73"/>
  <c r="E26" i="74"/>
  <c r="B139" i="74"/>
  <c r="B92" i="74" s="1"/>
  <c r="J139" i="74"/>
  <c r="J92" i="74" s="1"/>
  <c r="C139" i="74"/>
  <c r="C71" i="74" s="1"/>
  <c r="G139" i="74"/>
  <c r="G92" i="74" s="1"/>
  <c r="K26" i="74"/>
  <c r="K139" i="74"/>
  <c r="K92" i="74" s="1"/>
  <c r="D139" i="74"/>
  <c r="D71" i="74" s="1"/>
  <c r="H139" i="74"/>
  <c r="H71" i="74" s="1"/>
  <c r="G148" i="74"/>
  <c r="G149" i="74"/>
  <c r="E149" i="74"/>
  <c r="E148" i="74"/>
  <c r="K147" i="74"/>
  <c r="K148" i="74"/>
  <c r="K149" i="74"/>
  <c r="C148" i="74"/>
  <c r="C149" i="74"/>
  <c r="I149" i="74"/>
  <c r="I148" i="74"/>
  <c r="D147" i="74"/>
  <c r="D148" i="74"/>
  <c r="D149" i="74"/>
  <c r="B149" i="74"/>
  <c r="B148" i="74"/>
  <c r="H149" i="74"/>
  <c r="H148" i="74"/>
  <c r="F147" i="74"/>
  <c r="F148" i="74"/>
  <c r="F149" i="74"/>
  <c r="K36" i="73"/>
  <c r="K50" i="73" s="1"/>
  <c r="J149" i="74"/>
  <c r="J148" i="74"/>
  <c r="M96" i="73"/>
  <c r="C36" i="74"/>
  <c r="I36" i="74"/>
  <c r="L32" i="74"/>
  <c r="L87" i="74"/>
  <c r="D85" i="74"/>
  <c r="D49" i="74" s="1"/>
  <c r="D84" i="74"/>
  <c r="D36" i="74" s="1"/>
  <c r="D37" i="74"/>
  <c r="D48" i="74" s="1"/>
  <c r="H37" i="74"/>
  <c r="H48" i="74" s="1"/>
  <c r="B85" i="74"/>
  <c r="B49" i="74" s="1"/>
  <c r="B84" i="74"/>
  <c r="B36" i="74" s="1"/>
  <c r="B37" i="74"/>
  <c r="B48" i="74" s="1"/>
  <c r="I37" i="74"/>
  <c r="I48" i="74" s="1"/>
  <c r="F78" i="74"/>
  <c r="F37" i="74"/>
  <c r="F48" i="74" s="1"/>
  <c r="J36" i="74"/>
  <c r="D79" i="74"/>
  <c r="E80" i="74"/>
  <c r="K140" i="74"/>
  <c r="F81" i="74"/>
  <c r="F30" i="74" s="1"/>
  <c r="B81" i="74"/>
  <c r="B26" i="74" s="1"/>
  <c r="D81" i="74"/>
  <c r="D30" i="74" s="1"/>
  <c r="G81" i="74"/>
  <c r="G30" i="74" s="1"/>
  <c r="J140" i="74"/>
  <c r="E81" i="74"/>
  <c r="E30" i="74" s="1"/>
  <c r="H81" i="74"/>
  <c r="H28" i="74" s="1"/>
  <c r="F16" i="74"/>
  <c r="K16" i="74"/>
  <c r="K91" i="74" s="1"/>
  <c r="E84" i="74"/>
  <c r="E36" i="74" s="1"/>
  <c r="E77" i="74"/>
  <c r="E78" i="74"/>
  <c r="E79" i="74"/>
  <c r="H77" i="74"/>
  <c r="H78" i="74"/>
  <c r="H79" i="74"/>
  <c r="H36" i="74"/>
  <c r="H80" i="74"/>
  <c r="K77" i="74"/>
  <c r="K78" i="74"/>
  <c r="K79" i="74"/>
  <c r="K36" i="74"/>
  <c r="K80" i="74"/>
  <c r="C77" i="74"/>
  <c r="K81" i="74"/>
  <c r="K30" i="74" s="1"/>
  <c r="J81" i="74"/>
  <c r="J30" i="74" s="1"/>
  <c r="J16" i="74"/>
  <c r="J91" i="74" s="1"/>
  <c r="C81" i="74"/>
  <c r="C26" i="74" s="1"/>
  <c r="I81" i="74"/>
  <c r="I26" i="74" s="1"/>
  <c r="I16" i="74"/>
  <c r="B16" i="74"/>
  <c r="B91" i="74" s="1"/>
  <c r="D16" i="74"/>
  <c r="D91" i="74" s="1"/>
  <c r="G16" i="74"/>
  <c r="G91" i="74" s="1"/>
  <c r="L86" i="74"/>
  <c r="C78" i="74"/>
  <c r="C79" i="74"/>
  <c r="C80" i="74"/>
  <c r="I80" i="74"/>
  <c r="F36" i="74"/>
  <c r="G79" i="74"/>
  <c r="F79" i="74"/>
  <c r="F80" i="74"/>
  <c r="F77" i="74"/>
  <c r="J79" i="74"/>
  <c r="J80" i="74"/>
  <c r="J77" i="74"/>
  <c r="G36" i="74"/>
  <c r="J78" i="74"/>
  <c r="B80" i="74"/>
  <c r="B77" i="74"/>
  <c r="B78" i="74"/>
  <c r="D80" i="74"/>
  <c r="D77" i="74"/>
  <c r="D78" i="74"/>
  <c r="G80" i="74"/>
  <c r="G77" i="74"/>
  <c r="G78" i="74"/>
  <c r="B79" i="74"/>
  <c r="M32" i="73"/>
  <c r="H87" i="73"/>
  <c r="H28" i="73" s="1"/>
  <c r="B38" i="73"/>
  <c r="B51" i="73" s="1"/>
  <c r="C85" i="73"/>
  <c r="D83" i="73"/>
  <c r="B83" i="73"/>
  <c r="M95" i="73"/>
  <c r="G86" i="73"/>
  <c r="G36" i="73"/>
  <c r="K83" i="73"/>
  <c r="M74" i="73"/>
  <c r="D86" i="73"/>
  <c r="C90" i="73"/>
  <c r="B87" i="73"/>
  <c r="B31" i="73" s="1"/>
  <c r="B31" i="74" s="1"/>
  <c r="I87" i="73"/>
  <c r="I28" i="73" s="1"/>
  <c r="B17" i="73"/>
  <c r="B100" i="73" s="1"/>
  <c r="H17" i="73"/>
  <c r="H100" i="73" s="1"/>
  <c r="B91" i="73"/>
  <c r="B93" i="73"/>
  <c r="B52" i="73" s="1"/>
  <c r="H86" i="73"/>
  <c r="H85" i="73"/>
  <c r="H84" i="73"/>
  <c r="H36" i="73"/>
  <c r="H50" i="73" s="1"/>
  <c r="F36" i="73"/>
  <c r="F50" i="73" s="1"/>
  <c r="F86" i="73"/>
  <c r="F83" i="73"/>
  <c r="F85" i="73"/>
  <c r="F84" i="73"/>
  <c r="I75" i="73"/>
  <c r="I38" i="73"/>
  <c r="I51" i="73" s="1"/>
  <c r="I36" i="73"/>
  <c r="I50" i="73" s="1"/>
  <c r="L86" i="73"/>
  <c r="L83" i="73"/>
  <c r="L85" i="73"/>
  <c r="L84" i="73"/>
  <c r="L36" i="73"/>
  <c r="L50" i="73" s="1"/>
  <c r="H83" i="73"/>
  <c r="E91" i="73"/>
  <c r="D87" i="73"/>
  <c r="D31" i="73" s="1"/>
  <c r="D17" i="73"/>
  <c r="D100" i="73" s="1"/>
  <c r="G17" i="73"/>
  <c r="G87" i="73"/>
  <c r="G31" i="73" s="1"/>
  <c r="K87" i="73"/>
  <c r="K31" i="73" s="1"/>
  <c r="J31" i="74" s="1"/>
  <c r="K17" i="73"/>
  <c r="K100" i="73" s="1"/>
  <c r="B85" i="73"/>
  <c r="B86" i="73"/>
  <c r="B84" i="73"/>
  <c r="E85" i="73"/>
  <c r="E86" i="73"/>
  <c r="E84" i="73"/>
  <c r="E83" i="73"/>
  <c r="E38" i="73"/>
  <c r="E51" i="73" s="1"/>
  <c r="C87" i="73"/>
  <c r="C28" i="73" s="1"/>
  <c r="C17" i="73"/>
  <c r="C100" i="73" s="1"/>
  <c r="J87" i="73"/>
  <c r="J28" i="73" s="1"/>
  <c r="J17" i="73"/>
  <c r="J62" i="73" s="1"/>
  <c r="E87" i="73"/>
  <c r="E28" i="73" s="1"/>
  <c r="C83" i="73"/>
  <c r="C84" i="73"/>
  <c r="J38" i="73"/>
  <c r="J51" i="73" s="1"/>
  <c r="F87" i="73"/>
  <c r="F30" i="73" s="1"/>
  <c r="L87" i="73"/>
  <c r="L31" i="73" s="1"/>
  <c r="D84" i="73"/>
  <c r="D85" i="73"/>
  <c r="G84" i="73"/>
  <c r="G85" i="73"/>
  <c r="K86" i="73"/>
  <c r="K84" i="73"/>
  <c r="K85" i="73"/>
  <c r="C36" i="73"/>
  <c r="C50" i="73" s="1"/>
  <c r="J36" i="73"/>
  <c r="J50" i="73" s="1"/>
  <c r="D38" i="73"/>
  <c r="D51" i="73" s="1"/>
  <c r="G38" i="73"/>
  <c r="G51" i="73" s="1"/>
  <c r="G83" i="73"/>
  <c r="C86" i="73"/>
  <c r="D91" i="73"/>
  <c r="C47" i="73" l="1"/>
  <c r="C45" i="73"/>
  <c r="B47" i="73"/>
  <c r="B45" i="73"/>
  <c r="E47" i="73"/>
  <c r="E46" i="73"/>
  <c r="E45" i="73"/>
  <c r="H46" i="73"/>
  <c r="H45" i="73"/>
  <c r="H47" i="73"/>
  <c r="K45" i="73"/>
  <c r="K46" i="73"/>
  <c r="K47" i="73"/>
  <c r="D46" i="73"/>
  <c r="D45" i="73"/>
  <c r="D47" i="73"/>
  <c r="G59" i="74"/>
  <c r="G56" i="74"/>
  <c r="G44" i="74"/>
  <c r="G43" i="74"/>
  <c r="G58" i="74"/>
  <c r="G45" i="74"/>
  <c r="G57" i="74"/>
  <c r="D59" i="74"/>
  <c r="D57" i="74"/>
  <c r="D58" i="74"/>
  <c r="D45" i="74"/>
  <c r="D56" i="74"/>
  <c r="D44" i="74"/>
  <c r="D43" i="74"/>
  <c r="K59" i="74"/>
  <c r="K45" i="74"/>
  <c r="K56" i="74"/>
  <c r="K44" i="74"/>
  <c r="K43" i="74"/>
  <c r="K58" i="74"/>
  <c r="K57" i="74"/>
  <c r="B59" i="74"/>
  <c r="B44" i="74"/>
  <c r="B45" i="74"/>
  <c r="B43" i="74"/>
  <c r="B56" i="74"/>
  <c r="B58" i="74"/>
  <c r="B57" i="74"/>
  <c r="J59" i="74"/>
  <c r="J58" i="74"/>
  <c r="J56" i="74"/>
  <c r="J43" i="74"/>
  <c r="J44" i="74"/>
  <c r="J45" i="74"/>
  <c r="J57" i="74"/>
  <c r="H43" i="74"/>
  <c r="H44" i="74"/>
  <c r="H45" i="74"/>
  <c r="H57" i="74"/>
  <c r="H58" i="74"/>
  <c r="H56" i="74"/>
  <c r="C59" i="74"/>
  <c r="C45" i="74"/>
  <c r="C58" i="74"/>
  <c r="C44" i="74"/>
  <c r="C56" i="74"/>
  <c r="C43" i="74"/>
  <c r="C57" i="74"/>
  <c r="H62" i="73"/>
  <c r="H60" i="73"/>
  <c r="H61" i="73"/>
  <c r="H59" i="73"/>
  <c r="C62" i="73"/>
  <c r="C61" i="73"/>
  <c r="C60" i="73"/>
  <c r="C59" i="73"/>
  <c r="K62" i="73"/>
  <c r="K59" i="73"/>
  <c r="K61" i="73"/>
  <c r="K60" i="73"/>
  <c r="D62" i="73"/>
  <c r="D60" i="73"/>
  <c r="D61" i="73"/>
  <c r="D59" i="73"/>
  <c r="B62" i="73"/>
  <c r="B59" i="73"/>
  <c r="B61" i="73"/>
  <c r="E62" i="73"/>
  <c r="E61" i="73"/>
  <c r="E60" i="73"/>
  <c r="E59" i="73"/>
  <c r="G50" i="73"/>
  <c r="L62" i="73"/>
  <c r="L61" i="73"/>
  <c r="L59" i="73"/>
  <c r="L60" i="73"/>
  <c r="D36" i="73"/>
  <c r="D50" i="73" s="1"/>
  <c r="E36" i="73"/>
  <c r="E50" i="73" s="1"/>
  <c r="L31" i="74"/>
  <c r="E91" i="74"/>
  <c r="I139" i="74"/>
  <c r="I59" i="74"/>
  <c r="I140" i="73"/>
  <c r="I101" i="73" s="1"/>
  <c r="I31" i="73"/>
  <c r="I30" i="73"/>
  <c r="I100" i="73"/>
  <c r="F100" i="73"/>
  <c r="K28" i="73"/>
  <c r="G140" i="73"/>
  <c r="D28" i="73"/>
  <c r="B28" i="73"/>
  <c r="F140" i="73"/>
  <c r="F101" i="73" s="1"/>
  <c r="H26" i="74"/>
  <c r="F139" i="74"/>
  <c r="F140" i="74" s="1"/>
  <c r="F91" i="74" s="1"/>
  <c r="J26" i="74"/>
  <c r="H59" i="74"/>
  <c r="D26" i="74"/>
  <c r="G26" i="74"/>
  <c r="E139" i="74"/>
  <c r="E92" i="74" s="1"/>
  <c r="H30" i="74"/>
  <c r="B30" i="74"/>
  <c r="B28" i="74"/>
  <c r="J28" i="74"/>
  <c r="G28" i="74"/>
  <c r="H31" i="73"/>
  <c r="H30" i="73"/>
  <c r="G71" i="74"/>
  <c r="J71" i="74"/>
  <c r="B71" i="74"/>
  <c r="K71" i="74"/>
  <c r="F28" i="74"/>
  <c r="D28" i="74"/>
  <c r="C92" i="74"/>
  <c r="D92" i="74"/>
  <c r="L79" i="74"/>
  <c r="L73" i="74"/>
  <c r="L84" i="74"/>
  <c r="L36" i="74"/>
  <c r="L82" i="74"/>
  <c r="K28" i="74"/>
  <c r="E28" i="74"/>
  <c r="L81" i="74"/>
  <c r="L77" i="74"/>
  <c r="H92" i="74"/>
  <c r="L78" i="74"/>
  <c r="L80" i="74"/>
  <c r="I30" i="74"/>
  <c r="I28" i="74"/>
  <c r="C30" i="74"/>
  <c r="C28" i="74"/>
  <c r="L85" i="74"/>
  <c r="L49" i="74"/>
  <c r="M90" i="73"/>
  <c r="B30" i="73"/>
  <c r="B29" i="74" s="1"/>
  <c r="L47" i="73"/>
  <c r="L45" i="73"/>
  <c r="L46" i="73"/>
  <c r="E101" i="73"/>
  <c r="M89" i="73"/>
  <c r="G30" i="73"/>
  <c r="D30" i="73"/>
  <c r="L30" i="73"/>
  <c r="K30" i="73"/>
  <c r="J29" i="74" s="1"/>
  <c r="J30" i="73"/>
  <c r="J31" i="73"/>
  <c r="E31" i="73"/>
  <c r="B60" i="73"/>
  <c r="B46" i="73"/>
  <c r="M87" i="73"/>
  <c r="E30" i="73"/>
  <c r="M86" i="73"/>
  <c r="C101" i="73"/>
  <c r="C30" i="73"/>
  <c r="C31" i="73"/>
  <c r="C46" i="73"/>
  <c r="M85" i="73"/>
  <c r="M93" i="73"/>
  <c r="M52" i="73"/>
  <c r="M91" i="73"/>
  <c r="B36" i="73"/>
  <c r="B50" i="73" s="1"/>
  <c r="M84" i="73"/>
  <c r="M83" i="73"/>
  <c r="F31" i="73"/>
  <c r="I90" i="74" l="1"/>
  <c r="I99" i="73"/>
  <c r="J99" i="73"/>
  <c r="F47" i="73"/>
  <c r="F46" i="73"/>
  <c r="F45" i="73"/>
  <c r="E99" i="73"/>
  <c r="I45" i="73"/>
  <c r="I46" i="73"/>
  <c r="I47" i="73"/>
  <c r="D90" i="74"/>
  <c r="H90" i="74"/>
  <c r="F44" i="74"/>
  <c r="F43" i="74"/>
  <c r="F58" i="74"/>
  <c r="F56" i="74"/>
  <c r="F57" i="74"/>
  <c r="F45" i="74"/>
  <c r="E59" i="74"/>
  <c r="E45" i="74"/>
  <c r="E56" i="74"/>
  <c r="E44" i="74"/>
  <c r="E57" i="74"/>
  <c r="E43" i="74"/>
  <c r="E58" i="74"/>
  <c r="J27" i="74"/>
  <c r="B27" i="74"/>
  <c r="B90" i="74" s="1"/>
  <c r="B99" i="73"/>
  <c r="F62" i="73"/>
  <c r="F60" i="73"/>
  <c r="F61" i="73"/>
  <c r="F59" i="73"/>
  <c r="I62" i="73"/>
  <c r="I59" i="73"/>
  <c r="I60" i="73"/>
  <c r="I61" i="73"/>
  <c r="G28" i="73"/>
  <c r="G99" i="73" s="1"/>
  <c r="G141" i="73"/>
  <c r="G100" i="73" s="1"/>
  <c r="G46" i="73" s="1"/>
  <c r="L29" i="74"/>
  <c r="I92" i="74"/>
  <c r="I71" i="74"/>
  <c r="G101" i="73"/>
  <c r="M101" i="73" s="1"/>
  <c r="E71" i="74"/>
  <c r="F59" i="74"/>
  <c r="F71" i="74"/>
  <c r="F26" i="74"/>
  <c r="F90" i="74" s="1"/>
  <c r="F92" i="74"/>
  <c r="H95" i="74"/>
  <c r="L91" i="74"/>
  <c r="L30" i="74"/>
  <c r="K95" i="74"/>
  <c r="B95" i="74"/>
  <c r="G95" i="74"/>
  <c r="L28" i="74"/>
  <c r="C95" i="74"/>
  <c r="J95" i="74"/>
  <c r="D95" i="74"/>
  <c r="L62" i="74"/>
  <c r="I95" i="74"/>
  <c r="I41" i="73"/>
  <c r="E104" i="73"/>
  <c r="E41" i="73"/>
  <c r="L104" i="73"/>
  <c r="I98" i="73"/>
  <c r="M31" i="73"/>
  <c r="M30" i="73"/>
  <c r="K104" i="73"/>
  <c r="M36" i="73"/>
  <c r="J98" i="73"/>
  <c r="J41" i="73"/>
  <c r="E98" i="73"/>
  <c r="B104" i="73"/>
  <c r="H104" i="73"/>
  <c r="C104" i="73"/>
  <c r="D104" i="73"/>
  <c r="J104" i="73"/>
  <c r="K30" i="63"/>
  <c r="I30" i="63"/>
  <c r="L59" i="74" l="1"/>
  <c r="E95" i="74"/>
  <c r="L58" i="74"/>
  <c r="L27" i="74"/>
  <c r="L44" i="74"/>
  <c r="L43" i="74"/>
  <c r="G98" i="73"/>
  <c r="M28" i="73"/>
  <c r="G41" i="73"/>
  <c r="G45" i="73"/>
  <c r="G47" i="73"/>
  <c r="M47" i="73" s="1"/>
  <c r="L56" i="74"/>
  <c r="G62" i="73"/>
  <c r="M62" i="73" s="1"/>
  <c r="G59" i="73"/>
  <c r="M59" i="73" s="1"/>
  <c r="G60" i="73"/>
  <c r="M60" i="73" s="1"/>
  <c r="G61" i="73"/>
  <c r="M61" i="73" s="1"/>
  <c r="M100" i="73"/>
  <c r="I104" i="73"/>
  <c r="F104" i="73"/>
  <c r="L57" i="74"/>
  <c r="L92" i="74"/>
  <c r="L26" i="74"/>
  <c r="L71" i="74"/>
  <c r="B102" i="74"/>
  <c r="H102" i="74"/>
  <c r="E102" i="74"/>
  <c r="D102" i="74"/>
  <c r="C102" i="74"/>
  <c r="I102" i="74"/>
  <c r="G102" i="74"/>
  <c r="J102" i="74"/>
  <c r="K102" i="74"/>
  <c r="F95" i="74"/>
  <c r="L45" i="74"/>
  <c r="M46" i="73"/>
  <c r="M50" i="73"/>
  <c r="B98" i="73"/>
  <c r="B41" i="73"/>
  <c r="P30" i="63"/>
  <c r="K37" i="63"/>
  <c r="I37" i="63"/>
  <c r="E37" i="63"/>
  <c r="B37" i="63"/>
  <c r="K36" i="63"/>
  <c r="I36" i="63"/>
  <c r="E36" i="63"/>
  <c r="B36" i="63"/>
  <c r="K35" i="63"/>
  <c r="I35" i="63"/>
  <c r="E35" i="63"/>
  <c r="B35" i="63"/>
  <c r="K34" i="63"/>
  <c r="I34" i="63"/>
  <c r="E34" i="63"/>
  <c r="B34" i="63"/>
  <c r="L95" i="74" l="1"/>
  <c r="G104" i="73"/>
  <c r="M104" i="73" s="1"/>
  <c r="M45" i="73"/>
  <c r="F102" i="74"/>
  <c r="L102" i="74" s="1"/>
  <c r="K38" i="50" l="1"/>
  <c r="I38" i="50"/>
  <c r="K36" i="25"/>
  <c r="P37" i="63"/>
  <c r="P36" i="63"/>
  <c r="P35" i="63"/>
  <c r="P34" i="63"/>
  <c r="P38" i="50" l="1"/>
  <c r="K39" i="62" l="1"/>
  <c r="I39" i="62"/>
  <c r="P39" i="62" s="1"/>
  <c r="P111" i="25"/>
  <c r="P112" i="25"/>
  <c r="P36" i="25" l="1"/>
  <c r="C40" i="71" l="1"/>
  <c r="P40" i="71" s="1"/>
  <c r="N39" i="71"/>
  <c r="P39" i="71" s="1"/>
  <c r="O29" i="72" l="1"/>
  <c r="AD108" i="70"/>
  <c r="C88" i="70" s="1"/>
  <c r="C15" i="72"/>
  <c r="C88" i="72" s="1"/>
  <c r="D15" i="72"/>
  <c r="D88" i="72" s="1"/>
  <c r="E15" i="72"/>
  <c r="E88" i="72" s="1"/>
  <c r="F15" i="72"/>
  <c r="F88" i="72" s="1"/>
  <c r="G15" i="72"/>
  <c r="G88" i="72" s="1"/>
  <c r="H15" i="72"/>
  <c r="H88" i="72" s="1"/>
  <c r="I15" i="72"/>
  <c r="I88" i="72" s="1"/>
  <c r="J15" i="72"/>
  <c r="J88" i="72" s="1"/>
  <c r="K15" i="72"/>
  <c r="K88" i="72" s="1"/>
  <c r="L15" i="72"/>
  <c r="L88" i="72" s="1"/>
  <c r="M15" i="72"/>
  <c r="M88" i="72" s="1"/>
  <c r="N15" i="72"/>
  <c r="N88" i="72" s="1"/>
  <c r="O15" i="72"/>
  <c r="O88" i="72" s="1"/>
  <c r="B15" i="72"/>
  <c r="B88" i="72" s="1"/>
  <c r="H36" i="72"/>
  <c r="C18" i="72"/>
  <c r="D18" i="72"/>
  <c r="E18" i="72"/>
  <c r="F18" i="72"/>
  <c r="G18" i="72"/>
  <c r="H18" i="72"/>
  <c r="I18" i="72"/>
  <c r="J18" i="72"/>
  <c r="K18" i="72"/>
  <c r="L18" i="72"/>
  <c r="M18" i="72"/>
  <c r="N18" i="72"/>
  <c r="O18" i="72"/>
  <c r="B18" i="72"/>
  <c r="D152" i="71"/>
  <c r="D119" i="72" s="1"/>
  <c r="C116" i="73" s="1"/>
  <c r="E152" i="71"/>
  <c r="G152" i="71"/>
  <c r="H152" i="71"/>
  <c r="H119" i="72" s="1"/>
  <c r="I152" i="71"/>
  <c r="J152" i="71"/>
  <c r="K152" i="71"/>
  <c r="L152" i="71"/>
  <c r="L119" i="72" s="1"/>
  <c r="J116" i="73" s="1"/>
  <c r="M152" i="71"/>
  <c r="M119" i="72" s="1"/>
  <c r="K116" i="73" s="1"/>
  <c r="N152" i="71"/>
  <c r="N119" i="72" s="1"/>
  <c r="O152" i="71"/>
  <c r="C153" i="71"/>
  <c r="D153" i="71"/>
  <c r="E153" i="71"/>
  <c r="F153" i="71"/>
  <c r="G153" i="71"/>
  <c r="G120" i="72" s="1"/>
  <c r="F117" i="73" s="1"/>
  <c r="H153" i="71"/>
  <c r="I153" i="71"/>
  <c r="J153" i="71"/>
  <c r="M153" i="71"/>
  <c r="N153" i="71"/>
  <c r="O153" i="71"/>
  <c r="O120" i="72" s="1"/>
  <c r="L117" i="73" s="1"/>
  <c r="K108" i="74" s="1"/>
  <c r="B152" i="71"/>
  <c r="B119" i="72" s="1"/>
  <c r="B116" i="73" s="1"/>
  <c r="E109" i="68"/>
  <c r="F109" i="68"/>
  <c r="G109" i="68"/>
  <c r="H109" i="68"/>
  <c r="I109" i="68"/>
  <c r="J109" i="68"/>
  <c r="K109" i="68"/>
  <c r="L109" i="68"/>
  <c r="M109" i="68"/>
  <c r="N109" i="68"/>
  <c r="O109" i="68"/>
  <c r="E110" i="68"/>
  <c r="F110" i="68"/>
  <c r="G110" i="68"/>
  <c r="H110" i="68"/>
  <c r="I110" i="68"/>
  <c r="J110" i="68"/>
  <c r="K110" i="68"/>
  <c r="L110" i="68"/>
  <c r="M110" i="68"/>
  <c r="N110" i="68"/>
  <c r="O110" i="68"/>
  <c r="C111" i="68"/>
  <c r="E111" i="68"/>
  <c r="F111" i="68"/>
  <c r="G111" i="68"/>
  <c r="H111" i="68"/>
  <c r="I111" i="68"/>
  <c r="J111" i="68"/>
  <c r="K111" i="68"/>
  <c r="L111" i="68"/>
  <c r="M111" i="68"/>
  <c r="N111" i="68"/>
  <c r="O111" i="68"/>
  <c r="C112" i="68"/>
  <c r="E112" i="68"/>
  <c r="F112" i="68"/>
  <c r="G112" i="68"/>
  <c r="H112" i="68"/>
  <c r="I112" i="68"/>
  <c r="J112" i="68"/>
  <c r="K112" i="68"/>
  <c r="L112" i="68"/>
  <c r="M112" i="68"/>
  <c r="N112" i="68"/>
  <c r="O112" i="68"/>
  <c r="B110" i="68"/>
  <c r="B111" i="68"/>
  <c r="B112" i="68"/>
  <c r="B109" i="68"/>
  <c r="B179" i="71"/>
  <c r="H36" i="71"/>
  <c r="AD125" i="70"/>
  <c r="H101" i="70" s="1"/>
  <c r="H181" i="70"/>
  <c r="H86" i="70"/>
  <c r="H91" i="72" l="1"/>
  <c r="H52" i="72" s="1"/>
  <c r="H90" i="72"/>
  <c r="N120" i="72"/>
  <c r="H120" i="72"/>
  <c r="D120" i="72"/>
  <c r="C117" i="73" s="1"/>
  <c r="C120" i="72"/>
  <c r="J120" i="72"/>
  <c r="H117" i="73" s="1"/>
  <c r="G108" i="74" s="1"/>
  <c r="I120" i="72"/>
  <c r="G117" i="73" s="1"/>
  <c r="E120" i="72"/>
  <c r="C107" i="74"/>
  <c r="C114" i="74"/>
  <c r="I107" i="74"/>
  <c r="J114" i="74"/>
  <c r="C108" i="74"/>
  <c r="C115" i="74"/>
  <c r="E108" i="74"/>
  <c r="F115" i="74"/>
  <c r="B107" i="74"/>
  <c r="B114" i="74"/>
  <c r="H71" i="70"/>
  <c r="H179" i="71"/>
  <c r="H71" i="71" s="1"/>
  <c r="J107" i="74"/>
  <c r="K114" i="74"/>
  <c r="B71" i="71"/>
  <c r="B146" i="72"/>
  <c r="B67" i="72" s="1"/>
  <c r="B66" i="73" s="1"/>
  <c r="F91" i="72"/>
  <c r="F52" i="72" s="1"/>
  <c r="F90" i="72"/>
  <c r="E90" i="72"/>
  <c r="E91" i="72"/>
  <c r="E52" i="72" s="1"/>
  <c r="F120" i="72"/>
  <c r="E117" i="73" s="1"/>
  <c r="K119" i="72"/>
  <c r="I116" i="73" s="1"/>
  <c r="O119" i="72"/>
  <c r="L116" i="73" s="1"/>
  <c r="K107" i="74" s="1"/>
  <c r="G119" i="72"/>
  <c r="F116" i="73" s="1"/>
  <c r="E119" i="72"/>
  <c r="D116" i="73" s="1"/>
  <c r="D114" i="74" s="1"/>
  <c r="M120" i="72"/>
  <c r="K117" i="73" s="1"/>
  <c r="J119" i="72"/>
  <c r="H116" i="73" s="1"/>
  <c r="I119" i="72"/>
  <c r="G116" i="73" s="1"/>
  <c r="H37" i="71"/>
  <c r="N106" i="67"/>
  <c r="P106" i="67" s="1"/>
  <c r="C119" i="67"/>
  <c r="C110" i="68" s="1"/>
  <c r="C118" i="67"/>
  <c r="C109" i="68" s="1"/>
  <c r="D92" i="73" l="1"/>
  <c r="H115" i="74"/>
  <c r="G115" i="74"/>
  <c r="D117" i="73"/>
  <c r="F108" i="74"/>
  <c r="F122" i="74" s="1"/>
  <c r="D94" i="73"/>
  <c r="M94" i="73" s="1"/>
  <c r="M92" i="73"/>
  <c r="D37" i="73"/>
  <c r="J108" i="74"/>
  <c r="K115" i="74"/>
  <c r="H107" i="74"/>
  <c r="I114" i="74"/>
  <c r="D108" i="74"/>
  <c r="E115" i="74"/>
  <c r="B64" i="74"/>
  <c r="B75" i="73"/>
  <c r="H146" i="72"/>
  <c r="H67" i="72" s="1"/>
  <c r="F107" i="74"/>
  <c r="G114" i="74"/>
  <c r="E107" i="74"/>
  <c r="F114" i="74"/>
  <c r="G107" i="74"/>
  <c r="H114" i="74"/>
  <c r="O133" i="72"/>
  <c r="O132" i="72"/>
  <c r="P69" i="72"/>
  <c r="AC75" i="72"/>
  <c r="AC74" i="72"/>
  <c r="AC73" i="72"/>
  <c r="I93" i="72"/>
  <c r="H93" i="72"/>
  <c r="I92" i="72"/>
  <c r="H92" i="72"/>
  <c r="G29" i="72"/>
  <c r="O22" i="72"/>
  <c r="N22" i="72"/>
  <c r="M22" i="72"/>
  <c r="L22" i="72"/>
  <c r="K22" i="72"/>
  <c r="J22" i="72"/>
  <c r="I22" i="72"/>
  <c r="H22" i="72"/>
  <c r="G22" i="72"/>
  <c r="F22" i="72"/>
  <c r="E22" i="72"/>
  <c r="D22" i="72"/>
  <c r="C22" i="72"/>
  <c r="B22" i="72"/>
  <c r="O20" i="72"/>
  <c r="N20" i="72"/>
  <c r="M20" i="72"/>
  <c r="L20" i="72"/>
  <c r="K20" i="72"/>
  <c r="J20" i="72"/>
  <c r="I20" i="72"/>
  <c r="H20" i="72"/>
  <c r="G20" i="72"/>
  <c r="F20" i="72"/>
  <c r="E20" i="72"/>
  <c r="E144" i="72" s="1"/>
  <c r="D20" i="72"/>
  <c r="C20" i="72"/>
  <c r="B20" i="72"/>
  <c r="N19" i="72"/>
  <c r="L19" i="72"/>
  <c r="K19" i="72"/>
  <c r="I19" i="72"/>
  <c r="F19" i="72"/>
  <c r="E19" i="72"/>
  <c r="C19" i="72"/>
  <c r="B19" i="72"/>
  <c r="C90" i="72"/>
  <c r="O17" i="72"/>
  <c r="O89" i="72" s="1"/>
  <c r="N17" i="72"/>
  <c r="M17" i="72"/>
  <c r="L17" i="72"/>
  <c r="K17" i="72"/>
  <c r="K89" i="72" s="1"/>
  <c r="J17" i="72"/>
  <c r="I17" i="72"/>
  <c r="H17" i="72"/>
  <c r="H75" i="72" s="1"/>
  <c r="G17" i="72"/>
  <c r="G89" i="72" s="1"/>
  <c r="F17" i="72"/>
  <c r="E17" i="72"/>
  <c r="D88" i="73" s="1"/>
  <c r="D17" i="72"/>
  <c r="C17" i="72"/>
  <c r="B17" i="72"/>
  <c r="N16" i="72"/>
  <c r="M16" i="72"/>
  <c r="L16" i="72"/>
  <c r="J16" i="72"/>
  <c r="I16" i="72"/>
  <c r="H16" i="72"/>
  <c r="F16" i="72"/>
  <c r="E16" i="72"/>
  <c r="D16" i="72"/>
  <c r="B16" i="72"/>
  <c r="O14" i="72"/>
  <c r="N14" i="72"/>
  <c r="M14" i="72"/>
  <c r="L14" i="72"/>
  <c r="K14" i="72"/>
  <c r="J14" i="72"/>
  <c r="I14" i="72"/>
  <c r="H14" i="72"/>
  <c r="G14" i="72"/>
  <c r="F14" i="72"/>
  <c r="E14" i="72"/>
  <c r="D14" i="72"/>
  <c r="C14" i="72"/>
  <c r="B14" i="72"/>
  <c r="O13" i="72"/>
  <c r="N13" i="72"/>
  <c r="M13" i="72"/>
  <c r="L13" i="72"/>
  <c r="K13" i="72"/>
  <c r="J13" i="72"/>
  <c r="I13" i="72"/>
  <c r="H13" i="72"/>
  <c r="G13" i="72"/>
  <c r="F13" i="72"/>
  <c r="E13" i="72"/>
  <c r="D13" i="72"/>
  <c r="C13" i="72"/>
  <c r="B13" i="72"/>
  <c r="O12" i="72"/>
  <c r="N12" i="72"/>
  <c r="M12" i="72"/>
  <c r="L12" i="72"/>
  <c r="K12" i="72"/>
  <c r="J12" i="72"/>
  <c r="I12" i="72"/>
  <c r="H12" i="72"/>
  <c r="G12" i="72"/>
  <c r="F12" i="72"/>
  <c r="D12" i="72"/>
  <c r="C12" i="72"/>
  <c r="B12" i="72"/>
  <c r="O8" i="72"/>
  <c r="N8" i="72"/>
  <c r="M8" i="72"/>
  <c r="L8" i="72"/>
  <c r="K8" i="72"/>
  <c r="J8" i="72"/>
  <c r="I8" i="72"/>
  <c r="H8" i="72"/>
  <c r="G8" i="72"/>
  <c r="F8" i="72"/>
  <c r="E8" i="72"/>
  <c r="D8" i="72"/>
  <c r="C8" i="72"/>
  <c r="B8" i="72"/>
  <c r="K38" i="71"/>
  <c r="P38" i="71" s="1"/>
  <c r="E37" i="71"/>
  <c r="E142" i="71"/>
  <c r="D142" i="71"/>
  <c r="O173" i="71"/>
  <c r="N173" i="71"/>
  <c r="M173" i="71"/>
  <c r="L173" i="71"/>
  <c r="J173" i="71"/>
  <c r="I173" i="71"/>
  <c r="H173" i="71"/>
  <c r="G173" i="71"/>
  <c r="F173" i="71"/>
  <c r="E173" i="71"/>
  <c r="D173" i="71"/>
  <c r="B173" i="71"/>
  <c r="O172" i="71"/>
  <c r="L172" i="71"/>
  <c r="J172" i="71"/>
  <c r="I172" i="71"/>
  <c r="H172" i="71"/>
  <c r="G172" i="71"/>
  <c r="F172" i="71"/>
  <c r="E172" i="71"/>
  <c r="D172" i="71"/>
  <c r="C172" i="71"/>
  <c r="B172" i="71"/>
  <c r="O166" i="71"/>
  <c r="O165" i="71"/>
  <c r="O144" i="71"/>
  <c r="N144" i="71"/>
  <c r="M144" i="71"/>
  <c r="L144" i="71"/>
  <c r="K144" i="71"/>
  <c r="J144" i="71"/>
  <c r="I144" i="71"/>
  <c r="H144" i="71"/>
  <c r="G144" i="71"/>
  <c r="F144" i="71"/>
  <c r="E144" i="71"/>
  <c r="D144" i="71"/>
  <c r="B144" i="71"/>
  <c r="O143" i="71"/>
  <c r="N143" i="71"/>
  <c r="M143" i="71"/>
  <c r="L143" i="71"/>
  <c r="J143" i="71"/>
  <c r="I143" i="71"/>
  <c r="H143" i="71"/>
  <c r="G143" i="71"/>
  <c r="F143" i="71"/>
  <c r="E143" i="71"/>
  <c r="D143" i="71"/>
  <c r="C143" i="71"/>
  <c r="B143" i="71"/>
  <c r="O142" i="71"/>
  <c r="N142" i="71"/>
  <c r="M142" i="71"/>
  <c r="L142" i="71"/>
  <c r="K142" i="71"/>
  <c r="J142" i="71"/>
  <c r="I142" i="71"/>
  <c r="H142" i="71"/>
  <c r="G142" i="71"/>
  <c r="F142" i="71"/>
  <c r="C142" i="71"/>
  <c r="B142" i="71"/>
  <c r="O141" i="71"/>
  <c r="N141" i="71"/>
  <c r="L141" i="71"/>
  <c r="K141" i="71"/>
  <c r="J141" i="71"/>
  <c r="I141" i="71"/>
  <c r="H141" i="71"/>
  <c r="G141" i="71"/>
  <c r="F141" i="71"/>
  <c r="E141" i="71"/>
  <c r="D141" i="71"/>
  <c r="C141" i="71"/>
  <c r="B141" i="71"/>
  <c r="O140" i="71"/>
  <c r="N140" i="71"/>
  <c r="M140" i="71"/>
  <c r="L140" i="71"/>
  <c r="J140" i="71"/>
  <c r="I140" i="71"/>
  <c r="H140" i="71"/>
  <c r="G140" i="71"/>
  <c r="F140" i="71"/>
  <c r="E140" i="71"/>
  <c r="D140" i="71"/>
  <c r="C140" i="71"/>
  <c r="B140" i="71"/>
  <c r="O139" i="71"/>
  <c r="M139" i="71"/>
  <c r="L139" i="71"/>
  <c r="K139" i="71"/>
  <c r="J139" i="71"/>
  <c r="I139" i="71"/>
  <c r="H139" i="71"/>
  <c r="G139" i="71"/>
  <c r="F139" i="71"/>
  <c r="E139" i="71"/>
  <c r="D139" i="71"/>
  <c r="C139" i="71"/>
  <c r="B139" i="71"/>
  <c r="O138" i="71"/>
  <c r="M138" i="71"/>
  <c r="L138" i="71"/>
  <c r="K138" i="71"/>
  <c r="J138" i="71"/>
  <c r="I138" i="71"/>
  <c r="H138" i="71"/>
  <c r="G138" i="71"/>
  <c r="F138" i="71"/>
  <c r="E138" i="71"/>
  <c r="D138" i="71"/>
  <c r="C138" i="71"/>
  <c r="B138" i="71"/>
  <c r="O137" i="71"/>
  <c r="N137" i="71"/>
  <c r="M137" i="71"/>
  <c r="L137" i="71"/>
  <c r="K137" i="71"/>
  <c r="J137" i="71"/>
  <c r="I137" i="71"/>
  <c r="H137" i="71"/>
  <c r="G137" i="71"/>
  <c r="F137" i="71"/>
  <c r="E137" i="71"/>
  <c r="D137" i="71"/>
  <c r="C137" i="71"/>
  <c r="B137" i="71"/>
  <c r="O136" i="71"/>
  <c r="N136" i="71"/>
  <c r="M136" i="71"/>
  <c r="K136" i="71"/>
  <c r="J136" i="71"/>
  <c r="I136" i="71"/>
  <c r="H136" i="71"/>
  <c r="G136" i="71"/>
  <c r="F136" i="71"/>
  <c r="E136" i="71"/>
  <c r="D136" i="71"/>
  <c r="C136" i="71"/>
  <c r="B136" i="71"/>
  <c r="O135" i="71"/>
  <c r="N135" i="71"/>
  <c r="M135" i="71"/>
  <c r="K135" i="71"/>
  <c r="J135" i="71"/>
  <c r="I135" i="71"/>
  <c r="H135" i="71"/>
  <c r="G135" i="71"/>
  <c r="F135" i="71"/>
  <c r="E135" i="71"/>
  <c r="D135" i="71"/>
  <c r="C135" i="71"/>
  <c r="B135" i="71"/>
  <c r="O134" i="71"/>
  <c r="N134" i="71"/>
  <c r="M134" i="71"/>
  <c r="L134" i="71"/>
  <c r="K134" i="71"/>
  <c r="J134" i="71"/>
  <c r="I134" i="71"/>
  <c r="H134" i="71"/>
  <c r="G134" i="71"/>
  <c r="F134" i="71"/>
  <c r="E134" i="71"/>
  <c r="D134" i="71"/>
  <c r="C134" i="71"/>
  <c r="P94" i="71"/>
  <c r="P105" i="71"/>
  <c r="N138" i="71"/>
  <c r="P104" i="71"/>
  <c r="L135" i="71"/>
  <c r="P103" i="71"/>
  <c r="P101" i="71"/>
  <c r="P97" i="71"/>
  <c r="N139" i="71"/>
  <c r="P96" i="71"/>
  <c r="P93" i="71"/>
  <c r="P92" i="71"/>
  <c r="P91" i="71"/>
  <c r="P90" i="71"/>
  <c r="P89" i="71"/>
  <c r="P88" i="71"/>
  <c r="P87" i="71"/>
  <c r="P86" i="71"/>
  <c r="P73" i="71"/>
  <c r="I118" i="71"/>
  <c r="H118" i="71"/>
  <c r="I117" i="71"/>
  <c r="H117" i="71"/>
  <c r="O28" i="71"/>
  <c r="G28" i="71"/>
  <c r="O21" i="71"/>
  <c r="N21" i="71"/>
  <c r="M21" i="71"/>
  <c r="L21" i="71"/>
  <c r="K21" i="71"/>
  <c r="J21" i="71"/>
  <c r="I21" i="71"/>
  <c r="H21" i="71"/>
  <c r="G21" i="71"/>
  <c r="F21" i="71"/>
  <c r="E21" i="71"/>
  <c r="D21" i="71"/>
  <c r="C21" i="71"/>
  <c r="B21" i="71"/>
  <c r="O19" i="71"/>
  <c r="N19" i="71"/>
  <c r="N177" i="71" s="1"/>
  <c r="M19" i="71"/>
  <c r="M177" i="71" s="1"/>
  <c r="L19" i="71"/>
  <c r="L177" i="71" s="1"/>
  <c r="K19" i="71"/>
  <c r="K177" i="71" s="1"/>
  <c r="J19" i="71"/>
  <c r="J177" i="71" s="1"/>
  <c r="I19" i="71"/>
  <c r="H19" i="71"/>
  <c r="G19" i="71"/>
  <c r="F19" i="71"/>
  <c r="F177" i="71" s="1"/>
  <c r="E19" i="71"/>
  <c r="E177" i="71" s="1"/>
  <c r="D19" i="71"/>
  <c r="D177" i="71" s="1"/>
  <c r="C19" i="71"/>
  <c r="C177" i="71" s="1"/>
  <c r="B19" i="71"/>
  <c r="N18" i="71"/>
  <c r="L18" i="71"/>
  <c r="K18" i="71"/>
  <c r="I18" i="71"/>
  <c r="F18" i="71"/>
  <c r="E18" i="71"/>
  <c r="C18" i="71"/>
  <c r="B18" i="71"/>
  <c r="O17" i="71"/>
  <c r="N17" i="71"/>
  <c r="M17" i="71"/>
  <c r="L17" i="71"/>
  <c r="K17" i="71"/>
  <c r="J17" i="71"/>
  <c r="I17" i="71"/>
  <c r="H17" i="71"/>
  <c r="G17" i="71"/>
  <c r="F17" i="71"/>
  <c r="E17" i="71"/>
  <c r="D17" i="71"/>
  <c r="C17" i="71"/>
  <c r="B17" i="71"/>
  <c r="B116" i="71" s="1"/>
  <c r="B56" i="71" s="1"/>
  <c r="O16" i="71"/>
  <c r="N16" i="71"/>
  <c r="M16" i="71"/>
  <c r="L16" i="71"/>
  <c r="K16" i="71"/>
  <c r="J16" i="71"/>
  <c r="I16" i="71"/>
  <c r="H16" i="71"/>
  <c r="H79" i="71" s="1"/>
  <c r="G16" i="71"/>
  <c r="F16" i="71"/>
  <c r="E16" i="71"/>
  <c r="D16" i="71"/>
  <c r="C16" i="71"/>
  <c r="C79" i="71" s="1"/>
  <c r="B16" i="71"/>
  <c r="O14" i="71"/>
  <c r="N14" i="71"/>
  <c r="M14" i="71"/>
  <c r="L14" i="71"/>
  <c r="K14" i="71"/>
  <c r="J14" i="71"/>
  <c r="J113" i="71" s="1"/>
  <c r="I14" i="71"/>
  <c r="I113" i="71" s="1"/>
  <c r="H14" i="71"/>
  <c r="H113" i="71" s="1"/>
  <c r="G14" i="71"/>
  <c r="G113" i="71" s="1"/>
  <c r="F14" i="71"/>
  <c r="F113" i="71" s="1"/>
  <c r="E14" i="71"/>
  <c r="E113" i="71" s="1"/>
  <c r="D14" i="71"/>
  <c r="D113" i="71" s="1"/>
  <c r="C14" i="71"/>
  <c r="C113" i="71" s="1"/>
  <c r="B14" i="71"/>
  <c r="B113" i="71" s="1"/>
  <c r="O13" i="71"/>
  <c r="N13" i="71"/>
  <c r="M13" i="71"/>
  <c r="L13" i="71"/>
  <c r="K13" i="71"/>
  <c r="J13" i="71"/>
  <c r="I13" i="71"/>
  <c r="H13" i="71"/>
  <c r="G13" i="71"/>
  <c r="F13" i="71"/>
  <c r="E13" i="71"/>
  <c r="D13" i="71"/>
  <c r="C13" i="71"/>
  <c r="B13" i="71"/>
  <c r="O12" i="71"/>
  <c r="N12" i="71"/>
  <c r="M12" i="71"/>
  <c r="L12" i="71"/>
  <c r="K12" i="71"/>
  <c r="J12" i="71"/>
  <c r="I12" i="71"/>
  <c r="H12" i="71"/>
  <c r="G12" i="71"/>
  <c r="F12" i="71"/>
  <c r="E12" i="71"/>
  <c r="D12" i="71"/>
  <c r="C12" i="71"/>
  <c r="B12" i="71"/>
  <c r="B11" i="71"/>
  <c r="O8" i="71"/>
  <c r="N8" i="71"/>
  <c r="M8" i="71"/>
  <c r="L8" i="71"/>
  <c r="K8" i="71"/>
  <c r="J8" i="71"/>
  <c r="I8" i="71"/>
  <c r="H8" i="71"/>
  <c r="G8" i="71"/>
  <c r="F8" i="71"/>
  <c r="E8" i="71"/>
  <c r="D8" i="71"/>
  <c r="C8" i="71"/>
  <c r="B8" i="71"/>
  <c r="C141" i="70"/>
  <c r="D141" i="70"/>
  <c r="E141" i="70"/>
  <c r="F141" i="70"/>
  <c r="G141" i="70"/>
  <c r="H141" i="70"/>
  <c r="I141" i="70"/>
  <c r="J141" i="70"/>
  <c r="K141" i="70"/>
  <c r="L141" i="70"/>
  <c r="M141" i="70"/>
  <c r="O141" i="70"/>
  <c r="B141" i="70"/>
  <c r="AD131" i="70"/>
  <c r="N107" i="70" s="1"/>
  <c r="AD130" i="70"/>
  <c r="L106" i="70" s="1"/>
  <c r="AD129" i="70"/>
  <c r="AD128" i="70"/>
  <c r="B104" i="70" s="1"/>
  <c r="C103" i="70"/>
  <c r="C175" i="70" s="1"/>
  <c r="AD126" i="70"/>
  <c r="K102" i="70" s="1"/>
  <c r="K175" i="70" s="1"/>
  <c r="AD124" i="70"/>
  <c r="E101" i="70" s="1"/>
  <c r="AD123" i="70"/>
  <c r="L100" i="70" s="1"/>
  <c r="AD122" i="70"/>
  <c r="N99" i="70" s="1"/>
  <c r="N174" i="70" s="1"/>
  <c r="AD120" i="70"/>
  <c r="K97" i="70" s="1"/>
  <c r="K174" i="70" s="1"/>
  <c r="AD121" i="70"/>
  <c r="M98" i="70" s="1"/>
  <c r="M174" i="70" s="1"/>
  <c r="AD117" i="70"/>
  <c r="J96" i="70" s="1"/>
  <c r="AD116" i="70"/>
  <c r="F95" i="70" s="1"/>
  <c r="AD115" i="70"/>
  <c r="E94" i="70" s="1"/>
  <c r="C92" i="70"/>
  <c r="I91" i="70"/>
  <c r="H91" i="70"/>
  <c r="B90" i="70"/>
  <c r="C87" i="70"/>
  <c r="C89" i="70"/>
  <c r="C154" i="70" s="1"/>
  <c r="C152" i="71" s="1"/>
  <c r="C119" i="72" s="1"/>
  <c r="B87" i="70"/>
  <c r="E175" i="70"/>
  <c r="F175" i="70"/>
  <c r="G175" i="70"/>
  <c r="H175" i="70"/>
  <c r="I175" i="70"/>
  <c r="J175" i="70"/>
  <c r="L175" i="70"/>
  <c r="M175" i="70"/>
  <c r="N175" i="70"/>
  <c r="O175" i="70"/>
  <c r="B175" i="70"/>
  <c r="C174" i="70"/>
  <c r="E174" i="70"/>
  <c r="F174" i="70"/>
  <c r="G174" i="70"/>
  <c r="H174" i="70"/>
  <c r="I174" i="70"/>
  <c r="J174" i="70"/>
  <c r="L174" i="70"/>
  <c r="O174" i="70"/>
  <c r="B174" i="70"/>
  <c r="D115" i="74" l="1"/>
  <c r="J144" i="72"/>
  <c r="N144" i="72"/>
  <c r="G127" i="72"/>
  <c r="G124" i="73" s="1"/>
  <c r="G122" i="74" s="1"/>
  <c r="G144" i="72"/>
  <c r="K144" i="72"/>
  <c r="O127" i="72"/>
  <c r="O144" i="72"/>
  <c r="C144" i="72"/>
  <c r="L144" i="72"/>
  <c r="F144" i="72"/>
  <c r="B144" i="72"/>
  <c r="D144" i="72"/>
  <c r="M144" i="72"/>
  <c r="B177" i="71"/>
  <c r="D160" i="71"/>
  <c r="D127" i="72" s="1"/>
  <c r="D124" i="73" s="1"/>
  <c r="D122" i="74" s="1"/>
  <c r="O113" i="71"/>
  <c r="H116" i="71"/>
  <c r="H56" i="71" s="1"/>
  <c r="H115" i="71"/>
  <c r="M88" i="73"/>
  <c r="L113" i="71"/>
  <c r="K176" i="71"/>
  <c r="K123" i="71" s="1"/>
  <c r="D176" i="71"/>
  <c r="L176" i="71"/>
  <c r="L123" i="71" s="1"/>
  <c r="G25" i="71"/>
  <c r="O25" i="71"/>
  <c r="O176" i="71"/>
  <c r="E176" i="71"/>
  <c r="E123" i="71" s="1"/>
  <c r="M176" i="71"/>
  <c r="M123" i="71" s="1"/>
  <c r="C176" i="71"/>
  <c r="C123" i="71" s="1"/>
  <c r="B176" i="71"/>
  <c r="B123" i="71" s="1"/>
  <c r="F176" i="71"/>
  <c r="F123" i="71" s="1"/>
  <c r="J176" i="71"/>
  <c r="J123" i="71" s="1"/>
  <c r="N176" i="71"/>
  <c r="N123" i="71" s="1"/>
  <c r="E143" i="72"/>
  <c r="E98" i="72" s="1"/>
  <c r="M143" i="72"/>
  <c r="B143" i="72"/>
  <c r="B98" i="72" s="1"/>
  <c r="F143" i="72"/>
  <c r="F98" i="72" s="1"/>
  <c r="J143" i="72"/>
  <c r="J98" i="72" s="1"/>
  <c r="N143" i="72"/>
  <c r="N98" i="72" s="1"/>
  <c r="C143" i="72"/>
  <c r="C98" i="72" s="1"/>
  <c r="G26" i="72"/>
  <c r="K143" i="72"/>
  <c r="K98" i="72" s="1"/>
  <c r="O26" i="72"/>
  <c r="O143" i="72"/>
  <c r="O98" i="72" s="1"/>
  <c r="D143" i="72"/>
  <c r="D98" i="72" s="1"/>
  <c r="L143" i="72"/>
  <c r="L98" i="72" s="1"/>
  <c r="G43" i="71"/>
  <c r="G54" i="71" s="1"/>
  <c r="B74" i="74"/>
  <c r="N44" i="71"/>
  <c r="N55" i="71" s="1"/>
  <c r="N43" i="71"/>
  <c r="N54" i="71" s="1"/>
  <c r="C44" i="71"/>
  <c r="C55" i="71" s="1"/>
  <c r="K43" i="71"/>
  <c r="K54" i="71" s="1"/>
  <c r="K44" i="71"/>
  <c r="K55" i="71" s="1"/>
  <c r="O43" i="71"/>
  <c r="O54" i="71" s="1"/>
  <c r="J43" i="71"/>
  <c r="J54" i="71" s="1"/>
  <c r="D43" i="71"/>
  <c r="D54" i="71" s="1"/>
  <c r="L44" i="71"/>
  <c r="L55" i="71" s="1"/>
  <c r="L43" i="71"/>
  <c r="L54" i="71" s="1"/>
  <c r="F44" i="71"/>
  <c r="F55" i="71" s="1"/>
  <c r="E44" i="71"/>
  <c r="E55" i="71" s="1"/>
  <c r="I44" i="71"/>
  <c r="I55" i="71" s="1"/>
  <c r="I43" i="71"/>
  <c r="I54" i="71" s="1"/>
  <c r="M43" i="71"/>
  <c r="M54" i="71" s="1"/>
  <c r="B40" i="72"/>
  <c r="B51" i="72" s="1"/>
  <c r="B76" i="72"/>
  <c r="F39" i="72"/>
  <c r="F50" i="72" s="1"/>
  <c r="F40" i="72"/>
  <c r="F51" i="72" s="1"/>
  <c r="J39" i="72"/>
  <c r="J50" i="72" s="1"/>
  <c r="N39" i="72"/>
  <c r="N50" i="72" s="1"/>
  <c r="N40" i="72"/>
  <c r="N51" i="72" s="1"/>
  <c r="I40" i="72"/>
  <c r="I51" i="72" s="1"/>
  <c r="I39" i="72"/>
  <c r="I50" i="72" s="1"/>
  <c r="C89" i="72"/>
  <c r="C75" i="72"/>
  <c r="P75" i="72" s="1"/>
  <c r="C40" i="72"/>
  <c r="C51" i="72" s="1"/>
  <c r="C39" i="72"/>
  <c r="C50" i="72" s="1"/>
  <c r="G39" i="72"/>
  <c r="G50" i="72" s="1"/>
  <c r="K39" i="72"/>
  <c r="K50" i="72" s="1"/>
  <c r="K76" i="72"/>
  <c r="K40" i="72"/>
  <c r="K51" i="72" s="1"/>
  <c r="O39" i="72"/>
  <c r="O50" i="72" s="1"/>
  <c r="E40" i="72"/>
  <c r="E51" i="72" s="1"/>
  <c r="E39" i="72"/>
  <c r="E50" i="72" s="1"/>
  <c r="M39" i="72"/>
  <c r="M50" i="72" s="1"/>
  <c r="D39" i="72"/>
  <c r="D50" i="72" s="1"/>
  <c r="H39" i="72"/>
  <c r="H50" i="72" s="1"/>
  <c r="L40" i="72"/>
  <c r="L51" i="72" s="1"/>
  <c r="L39" i="72"/>
  <c r="L50" i="72" s="1"/>
  <c r="B97" i="72"/>
  <c r="N97" i="72"/>
  <c r="M97" i="72"/>
  <c r="K80" i="71"/>
  <c r="B80" i="71"/>
  <c r="B44" i="71"/>
  <c r="B55" i="71" s="1"/>
  <c r="F116" i="71"/>
  <c r="F56" i="71" s="1"/>
  <c r="F115" i="71"/>
  <c r="E116" i="71"/>
  <c r="E56" i="71" s="1"/>
  <c r="E115" i="71"/>
  <c r="C159" i="71"/>
  <c r="C126" i="72"/>
  <c r="D97" i="72"/>
  <c r="E97" i="72"/>
  <c r="J97" i="72"/>
  <c r="F97" i="72"/>
  <c r="L97" i="72"/>
  <c r="K16" i="72"/>
  <c r="C16" i="72"/>
  <c r="G87" i="72"/>
  <c r="G27" i="72" s="1"/>
  <c r="G16" i="72"/>
  <c r="O87" i="72"/>
  <c r="O27" i="72" s="1"/>
  <c r="O16" i="72"/>
  <c r="D89" i="72"/>
  <c r="H89" i="72"/>
  <c r="L89" i="72"/>
  <c r="B89" i="72"/>
  <c r="F89" i="72"/>
  <c r="J89" i="72"/>
  <c r="N89" i="72"/>
  <c r="N141" i="70"/>
  <c r="P29" i="72"/>
  <c r="P93" i="72"/>
  <c r="B83" i="72"/>
  <c r="J83" i="72"/>
  <c r="H87" i="72"/>
  <c r="H27" i="72" s="1"/>
  <c r="L85" i="72"/>
  <c r="E89" i="72"/>
  <c r="I89" i="72"/>
  <c r="M89" i="72"/>
  <c r="C83" i="72"/>
  <c r="B90" i="72"/>
  <c r="N87" i="72"/>
  <c r="N27" i="72" s="1"/>
  <c r="N83" i="72"/>
  <c r="D85" i="72"/>
  <c r="P117" i="71"/>
  <c r="P36" i="71"/>
  <c r="P99" i="71"/>
  <c r="E87" i="72"/>
  <c r="E26" i="72" s="1"/>
  <c r="I87" i="72"/>
  <c r="I28" i="72" s="1"/>
  <c r="M87" i="72"/>
  <c r="M28" i="72" s="1"/>
  <c r="G86" i="72"/>
  <c r="G85" i="72"/>
  <c r="O85" i="72"/>
  <c r="O86" i="72"/>
  <c r="K84" i="72"/>
  <c r="M86" i="72"/>
  <c r="D86" i="72"/>
  <c r="D83" i="72"/>
  <c r="H86" i="72"/>
  <c r="H83" i="72"/>
  <c r="D84" i="72"/>
  <c r="L84" i="72"/>
  <c r="N86" i="72"/>
  <c r="C87" i="72"/>
  <c r="C28" i="72" s="1"/>
  <c r="K87" i="72"/>
  <c r="K27" i="72" s="1"/>
  <c r="E83" i="72"/>
  <c r="E84" i="72"/>
  <c r="I83" i="72"/>
  <c r="I86" i="72"/>
  <c r="I84" i="72"/>
  <c r="M83" i="72"/>
  <c r="M84" i="72"/>
  <c r="F83" i="72"/>
  <c r="G84" i="72"/>
  <c r="O84" i="72"/>
  <c r="H85" i="72"/>
  <c r="E86" i="72"/>
  <c r="F87" i="72"/>
  <c r="F26" i="72" s="1"/>
  <c r="C91" i="72"/>
  <c r="C52" i="72" s="1"/>
  <c r="C86" i="72"/>
  <c r="C85" i="72"/>
  <c r="K86" i="72"/>
  <c r="K85" i="72"/>
  <c r="C84" i="72"/>
  <c r="C33" i="72" s="1"/>
  <c r="B87" i="72"/>
  <c r="B27" i="72" s="1"/>
  <c r="J87" i="72"/>
  <c r="J27" i="72" s="1"/>
  <c r="L86" i="72"/>
  <c r="L83" i="72"/>
  <c r="K83" i="72"/>
  <c r="E85" i="72"/>
  <c r="M85" i="72"/>
  <c r="D87" i="72"/>
  <c r="D26" i="72" s="1"/>
  <c r="L87" i="72"/>
  <c r="L28" i="72" s="1"/>
  <c r="B91" i="72"/>
  <c r="B52" i="72" s="1"/>
  <c r="B86" i="72"/>
  <c r="B84" i="72"/>
  <c r="B85" i="72"/>
  <c r="F84" i="72"/>
  <c r="F85" i="72"/>
  <c r="J86" i="72"/>
  <c r="J84" i="72"/>
  <c r="J85" i="72"/>
  <c r="N85" i="72"/>
  <c r="N84" i="72"/>
  <c r="N33" i="72" s="1"/>
  <c r="P92" i="72"/>
  <c r="G83" i="72"/>
  <c r="O83" i="72"/>
  <c r="H84" i="72"/>
  <c r="H33" i="72" s="1"/>
  <c r="I85" i="72"/>
  <c r="F86" i="72"/>
  <c r="P37" i="71"/>
  <c r="G114" i="71"/>
  <c r="N114" i="71"/>
  <c r="F114" i="71"/>
  <c r="J114" i="71"/>
  <c r="O114" i="71"/>
  <c r="P28" i="71"/>
  <c r="P118" i="71"/>
  <c r="L114" i="71"/>
  <c r="F108" i="71"/>
  <c r="C112" i="71"/>
  <c r="C26" i="71" s="1"/>
  <c r="K112" i="71"/>
  <c r="K25" i="71" s="1"/>
  <c r="B114" i="71"/>
  <c r="D109" i="71"/>
  <c r="L109" i="71"/>
  <c r="P139" i="71"/>
  <c r="D112" i="71"/>
  <c r="D25" i="71" s="1"/>
  <c r="H112" i="71"/>
  <c r="H176" i="71" s="1"/>
  <c r="H25" i="71" s="1"/>
  <c r="L112" i="71"/>
  <c r="L26" i="71" s="1"/>
  <c r="H109" i="71"/>
  <c r="N108" i="71"/>
  <c r="D114" i="71"/>
  <c r="H114" i="71"/>
  <c r="P137" i="71"/>
  <c r="G15" i="71"/>
  <c r="O112" i="71"/>
  <c r="O26" i="71" s="1"/>
  <c r="H15" i="71"/>
  <c r="B111" i="71"/>
  <c r="J111" i="71"/>
  <c r="F111" i="71"/>
  <c r="B115" i="71"/>
  <c r="O15" i="71"/>
  <c r="O122" i="71" s="1"/>
  <c r="N111" i="71"/>
  <c r="G112" i="71"/>
  <c r="G26" i="71" s="1"/>
  <c r="I112" i="71"/>
  <c r="I176" i="71" s="1"/>
  <c r="I177" i="71" s="1"/>
  <c r="I15" i="71"/>
  <c r="E114" i="71"/>
  <c r="E110" i="71"/>
  <c r="M110" i="71"/>
  <c r="M114" i="71"/>
  <c r="G110" i="71"/>
  <c r="G111" i="71"/>
  <c r="G109" i="71"/>
  <c r="G108" i="71"/>
  <c r="K110" i="71"/>
  <c r="K111" i="71"/>
  <c r="K109" i="71"/>
  <c r="K108" i="71"/>
  <c r="E112" i="71"/>
  <c r="E25" i="71" s="1"/>
  <c r="E15" i="71"/>
  <c r="E122" i="71" s="1"/>
  <c r="M112" i="71"/>
  <c r="M25" i="71" s="1"/>
  <c r="I111" i="71"/>
  <c r="I114" i="71"/>
  <c r="C115" i="71"/>
  <c r="C116" i="71"/>
  <c r="C56" i="71" s="1"/>
  <c r="C110" i="71"/>
  <c r="C111" i="71"/>
  <c r="C109" i="71"/>
  <c r="C108" i="71"/>
  <c r="O110" i="71"/>
  <c r="O111" i="71"/>
  <c r="O109" i="71"/>
  <c r="O108" i="71"/>
  <c r="K140" i="71"/>
  <c r="K172" i="71"/>
  <c r="K113" i="71" s="1"/>
  <c r="P95" i="71"/>
  <c r="L111" i="71"/>
  <c r="L108" i="71"/>
  <c r="B112" i="71"/>
  <c r="B25" i="71" s="1"/>
  <c r="J112" i="71"/>
  <c r="J26" i="71" s="1"/>
  <c r="E108" i="71"/>
  <c r="E109" i="71"/>
  <c r="I108" i="71"/>
  <c r="I109" i="71"/>
  <c r="M108" i="71"/>
  <c r="M109" i="71"/>
  <c r="P85" i="71"/>
  <c r="M172" i="71"/>
  <c r="M113" i="71" s="1"/>
  <c r="M141" i="71"/>
  <c r="M15" i="71" s="1"/>
  <c r="M122" i="71" s="1"/>
  <c r="K173" i="71"/>
  <c r="K114" i="71" s="1"/>
  <c r="K143" i="71"/>
  <c r="P143" i="71" s="1"/>
  <c r="P100" i="71"/>
  <c r="I110" i="71"/>
  <c r="D111" i="71"/>
  <c r="D108" i="71"/>
  <c r="H111" i="71"/>
  <c r="H108" i="71"/>
  <c r="B134" i="71"/>
  <c r="B15" i="71" s="1"/>
  <c r="B122" i="71" s="1"/>
  <c r="P102" i="71"/>
  <c r="H110" i="71"/>
  <c r="F15" i="71"/>
  <c r="F122" i="71" s="1"/>
  <c r="J15" i="71"/>
  <c r="J122" i="71" s="1"/>
  <c r="N15" i="71"/>
  <c r="N122" i="71" s="1"/>
  <c r="B109" i="71"/>
  <c r="B110" i="71"/>
  <c r="F109" i="71"/>
  <c r="F110" i="71"/>
  <c r="J109" i="71"/>
  <c r="J110" i="71"/>
  <c r="N109" i="71"/>
  <c r="N110" i="71"/>
  <c r="L136" i="71"/>
  <c r="P98" i="71"/>
  <c r="B108" i="71"/>
  <c r="J108" i="71"/>
  <c r="D110" i="71"/>
  <c r="L110" i="71"/>
  <c r="E111" i="71"/>
  <c r="M111" i="71"/>
  <c r="F112" i="71"/>
  <c r="F25" i="71" s="1"/>
  <c r="N112" i="71"/>
  <c r="N25" i="71" s="1"/>
  <c r="P135" i="71"/>
  <c r="P138" i="71"/>
  <c r="C173" i="71"/>
  <c r="C114" i="71" s="1"/>
  <c r="C144" i="71"/>
  <c r="N172" i="71"/>
  <c r="N113" i="71" s="1"/>
  <c r="B39" i="72" l="1"/>
  <c r="B50" i="72"/>
  <c r="D29" i="73"/>
  <c r="D99" i="73" s="1"/>
  <c r="B43" i="71"/>
  <c r="B54" i="71" s="1"/>
  <c r="E43" i="71"/>
  <c r="E54" i="71"/>
  <c r="C43" i="71"/>
  <c r="C54" i="71" s="1"/>
  <c r="F43" i="71"/>
  <c r="F54" i="71" s="1"/>
  <c r="H43" i="71"/>
  <c r="H54" i="71"/>
  <c r="M63" i="72"/>
  <c r="M48" i="72"/>
  <c r="M61" i="72"/>
  <c r="M47" i="72"/>
  <c r="M62" i="72"/>
  <c r="M46" i="72"/>
  <c r="M60" i="72"/>
  <c r="N63" i="72"/>
  <c r="N47" i="72"/>
  <c r="N60" i="72"/>
  <c r="N46" i="72"/>
  <c r="N48" i="72"/>
  <c r="N61" i="72"/>
  <c r="N62" i="72"/>
  <c r="J63" i="72"/>
  <c r="J47" i="72"/>
  <c r="J60" i="72"/>
  <c r="J62" i="72"/>
  <c r="J48" i="72"/>
  <c r="J61" i="72"/>
  <c r="J46" i="72"/>
  <c r="B63" i="72"/>
  <c r="B46" i="72"/>
  <c r="B60" i="72"/>
  <c r="B48" i="72"/>
  <c r="B62" i="72"/>
  <c r="L62" i="72"/>
  <c r="L47" i="72"/>
  <c r="L46" i="72"/>
  <c r="L60" i="72"/>
  <c r="L48" i="72"/>
  <c r="L61" i="72"/>
  <c r="D63" i="72"/>
  <c r="D62" i="72"/>
  <c r="D47" i="72"/>
  <c r="D60" i="72"/>
  <c r="D48" i="72"/>
  <c r="D46" i="72"/>
  <c r="D61" i="72"/>
  <c r="F63" i="72"/>
  <c r="F47" i="72"/>
  <c r="F60" i="72"/>
  <c r="F62" i="72"/>
  <c r="F46" i="72"/>
  <c r="F48" i="72"/>
  <c r="F61" i="72"/>
  <c r="E63" i="72"/>
  <c r="E48" i="72"/>
  <c r="E61" i="72"/>
  <c r="E47" i="72"/>
  <c r="E62" i="72"/>
  <c r="E46" i="72"/>
  <c r="E60" i="72"/>
  <c r="N67" i="71"/>
  <c r="N51" i="71"/>
  <c r="N64" i="71"/>
  <c r="N52" i="71"/>
  <c r="N65" i="71"/>
  <c r="N66" i="71"/>
  <c r="N50" i="71"/>
  <c r="E67" i="71"/>
  <c r="E52" i="71"/>
  <c r="E65" i="71"/>
  <c r="E66" i="71"/>
  <c r="E50" i="71"/>
  <c r="E51" i="71"/>
  <c r="E64" i="71"/>
  <c r="J67" i="71"/>
  <c r="J51" i="71"/>
  <c r="J64" i="71"/>
  <c r="J52" i="71"/>
  <c r="J65" i="71"/>
  <c r="J66" i="71"/>
  <c r="J50" i="71"/>
  <c r="B67" i="71"/>
  <c r="B50" i="71"/>
  <c r="B66" i="71"/>
  <c r="B64" i="71"/>
  <c r="B52" i="71"/>
  <c r="F67" i="71"/>
  <c r="F51" i="71"/>
  <c r="F64" i="71"/>
  <c r="F52" i="71"/>
  <c r="F65" i="71"/>
  <c r="F66" i="71"/>
  <c r="F50" i="71"/>
  <c r="M67" i="71"/>
  <c r="M52" i="71"/>
  <c r="M65" i="71"/>
  <c r="M66" i="71"/>
  <c r="M50" i="71"/>
  <c r="M51" i="71"/>
  <c r="M64" i="71"/>
  <c r="O50" i="71"/>
  <c r="O51" i="71"/>
  <c r="O64" i="71"/>
  <c r="O52" i="71"/>
  <c r="O65" i="71"/>
  <c r="O66" i="71"/>
  <c r="H177" i="71"/>
  <c r="D39" i="73"/>
  <c r="I25" i="71"/>
  <c r="I123" i="71"/>
  <c r="M26" i="72"/>
  <c r="C25" i="71"/>
  <c r="L25" i="71"/>
  <c r="J25" i="71"/>
  <c r="G176" i="71"/>
  <c r="G123" i="71" s="1"/>
  <c r="O67" i="71"/>
  <c r="L26" i="72"/>
  <c r="N26" i="72"/>
  <c r="K26" i="72"/>
  <c r="C26" i="72"/>
  <c r="L63" i="72"/>
  <c r="G143" i="72"/>
  <c r="G98" i="72" s="1"/>
  <c r="J26" i="72"/>
  <c r="B26" i="72"/>
  <c r="B96" i="72" s="1"/>
  <c r="H143" i="72"/>
  <c r="H144" i="72" s="1"/>
  <c r="H97" i="72" s="1"/>
  <c r="I143" i="72"/>
  <c r="I144" i="72" s="1"/>
  <c r="I97" i="72" s="1"/>
  <c r="D146" i="72"/>
  <c r="K79" i="73"/>
  <c r="M79" i="73" s="1"/>
  <c r="K78" i="73"/>
  <c r="M98" i="72"/>
  <c r="G28" i="72"/>
  <c r="K97" i="72"/>
  <c r="G97" i="72"/>
  <c r="C97" i="72"/>
  <c r="D123" i="71"/>
  <c r="D72" i="71" s="1"/>
  <c r="H123" i="71"/>
  <c r="O123" i="71"/>
  <c r="P79" i="71"/>
  <c r="M80" i="72"/>
  <c r="M79" i="72"/>
  <c r="O97" i="72"/>
  <c r="O28" i="72"/>
  <c r="K28" i="72"/>
  <c r="H28" i="72"/>
  <c r="N28" i="72"/>
  <c r="B28" i="72"/>
  <c r="I27" i="72"/>
  <c r="F28" i="72"/>
  <c r="F27" i="72"/>
  <c r="F96" i="72" s="1"/>
  <c r="P52" i="72"/>
  <c r="P89" i="72"/>
  <c r="P83" i="72"/>
  <c r="K26" i="71"/>
  <c r="P90" i="72"/>
  <c r="E28" i="72"/>
  <c r="E27" i="72"/>
  <c r="E96" i="72" s="1"/>
  <c r="C27" i="72"/>
  <c r="P39" i="72"/>
  <c r="M27" i="72"/>
  <c r="P85" i="72"/>
  <c r="P84" i="72"/>
  <c r="P91" i="72"/>
  <c r="P53" i="72"/>
  <c r="B47" i="72"/>
  <c r="B61" i="72"/>
  <c r="D28" i="72"/>
  <c r="D27" i="72"/>
  <c r="P88" i="72"/>
  <c r="L27" i="72"/>
  <c r="J28" i="72"/>
  <c r="P86" i="72"/>
  <c r="P87" i="72"/>
  <c r="P142" i="71"/>
  <c r="C27" i="71"/>
  <c r="D15" i="71"/>
  <c r="D122" i="71" s="1"/>
  <c r="H122" i="71"/>
  <c r="O27" i="71"/>
  <c r="I122" i="71"/>
  <c r="H26" i="71"/>
  <c r="H27" i="71"/>
  <c r="D27" i="71"/>
  <c r="K27" i="71"/>
  <c r="D26" i="71"/>
  <c r="P141" i="71"/>
  <c r="G122" i="71"/>
  <c r="G27" i="71"/>
  <c r="P114" i="71"/>
  <c r="L27" i="71"/>
  <c r="P115" i="71"/>
  <c r="N26" i="71"/>
  <c r="P111" i="71"/>
  <c r="C15" i="71"/>
  <c r="C122" i="71" s="1"/>
  <c r="P144" i="71"/>
  <c r="P110" i="71"/>
  <c r="P113" i="71"/>
  <c r="K15" i="71"/>
  <c r="K122" i="71" s="1"/>
  <c r="E26" i="71"/>
  <c r="E27" i="71"/>
  <c r="N27" i="71"/>
  <c r="B65" i="71"/>
  <c r="B51" i="71"/>
  <c r="P140" i="71"/>
  <c r="F26" i="71"/>
  <c r="M26" i="71"/>
  <c r="M27" i="71"/>
  <c r="P112" i="71"/>
  <c r="B27" i="71"/>
  <c r="P108" i="71"/>
  <c r="P116" i="71"/>
  <c r="P57" i="71"/>
  <c r="I26" i="71"/>
  <c r="I27" i="71"/>
  <c r="F27" i="71"/>
  <c r="L15" i="71"/>
  <c r="L122" i="71" s="1"/>
  <c r="P56" i="71"/>
  <c r="P109" i="71"/>
  <c r="P136" i="71"/>
  <c r="P134" i="71"/>
  <c r="B26" i="71"/>
  <c r="J27" i="71"/>
  <c r="P43" i="71" l="1"/>
  <c r="M29" i="73"/>
  <c r="L96" i="72"/>
  <c r="K96" i="72"/>
  <c r="K46" i="72"/>
  <c r="K61" i="72"/>
  <c r="K47" i="72"/>
  <c r="K60" i="72"/>
  <c r="K48" i="72"/>
  <c r="K62" i="72"/>
  <c r="C46" i="72"/>
  <c r="C61" i="72"/>
  <c r="C62" i="72"/>
  <c r="C47" i="72"/>
  <c r="C60" i="72"/>
  <c r="C48" i="72"/>
  <c r="I63" i="72"/>
  <c r="I48" i="72"/>
  <c r="I61" i="72"/>
  <c r="I46" i="72"/>
  <c r="I47" i="72"/>
  <c r="I60" i="72"/>
  <c r="I62" i="72"/>
  <c r="O46" i="72"/>
  <c r="O62" i="72"/>
  <c r="O47" i="72"/>
  <c r="O60" i="72"/>
  <c r="O48" i="72"/>
  <c r="O61" i="72"/>
  <c r="G46" i="72"/>
  <c r="G48" i="72"/>
  <c r="G47" i="72"/>
  <c r="G60" i="72"/>
  <c r="G61" i="72"/>
  <c r="G62" i="72"/>
  <c r="H63" i="72"/>
  <c r="H62" i="72"/>
  <c r="H48" i="72"/>
  <c r="H61" i="72"/>
  <c r="H46" i="72"/>
  <c r="H47" i="72"/>
  <c r="H60" i="72"/>
  <c r="L67" i="71"/>
  <c r="L66" i="71"/>
  <c r="L50" i="71"/>
  <c r="L51" i="71"/>
  <c r="L64" i="71"/>
  <c r="L52" i="71"/>
  <c r="L65" i="71"/>
  <c r="H66" i="71"/>
  <c r="H50" i="71"/>
  <c r="H51" i="71"/>
  <c r="H64" i="71"/>
  <c r="H52" i="71"/>
  <c r="H65" i="71"/>
  <c r="D66" i="71"/>
  <c r="D50" i="71"/>
  <c r="D51" i="71"/>
  <c r="D64" i="71"/>
  <c r="D52" i="71"/>
  <c r="D65" i="71"/>
  <c r="I52" i="71"/>
  <c r="I65" i="71"/>
  <c r="I66" i="71"/>
  <c r="I50" i="71"/>
  <c r="I51" i="71"/>
  <c r="I64" i="71"/>
  <c r="K67" i="71"/>
  <c r="K50" i="71"/>
  <c r="K51" i="71"/>
  <c r="K64" i="71"/>
  <c r="K52" i="71"/>
  <c r="K65" i="71"/>
  <c r="K66" i="71"/>
  <c r="C67" i="71"/>
  <c r="C50" i="71"/>
  <c r="C51" i="71"/>
  <c r="C64" i="71"/>
  <c r="C52" i="71"/>
  <c r="C65" i="71"/>
  <c r="C66" i="71"/>
  <c r="G50" i="71"/>
  <c r="G51" i="71"/>
  <c r="G64" i="71"/>
  <c r="G52" i="71"/>
  <c r="G65" i="71"/>
  <c r="G66" i="71"/>
  <c r="D68" i="72"/>
  <c r="D99" i="72"/>
  <c r="D67" i="71"/>
  <c r="I67" i="71"/>
  <c r="G67" i="71"/>
  <c r="H67" i="71"/>
  <c r="G63" i="72"/>
  <c r="H98" i="72"/>
  <c r="H26" i="72"/>
  <c r="O63" i="72"/>
  <c r="K63" i="72"/>
  <c r="C63" i="72"/>
  <c r="I26" i="72"/>
  <c r="I96" i="72" s="1"/>
  <c r="I98" i="72"/>
  <c r="P123" i="71"/>
  <c r="M78" i="73"/>
  <c r="K33" i="73"/>
  <c r="L101" i="72"/>
  <c r="P27" i="72"/>
  <c r="P28" i="72"/>
  <c r="J101" i="72"/>
  <c r="E101" i="72"/>
  <c r="P97" i="72"/>
  <c r="P50" i="72"/>
  <c r="M101" i="72"/>
  <c r="N101" i="72"/>
  <c r="B101" i="72"/>
  <c r="F101" i="72"/>
  <c r="O126" i="71"/>
  <c r="P54" i="71"/>
  <c r="P26" i="71"/>
  <c r="P27" i="71"/>
  <c r="J126" i="71"/>
  <c r="M126" i="71"/>
  <c r="E126" i="71"/>
  <c r="B126" i="71"/>
  <c r="P25" i="71"/>
  <c r="F126" i="71"/>
  <c r="N126" i="71"/>
  <c r="P122" i="71"/>
  <c r="C102" i="73" l="1"/>
  <c r="C67" i="73"/>
  <c r="P98" i="72"/>
  <c r="P26" i="72"/>
  <c r="K101" i="72"/>
  <c r="G101" i="72"/>
  <c r="O101" i="72"/>
  <c r="C101" i="72"/>
  <c r="I126" i="71"/>
  <c r="M33" i="73"/>
  <c r="H126" i="71"/>
  <c r="H101" i="72"/>
  <c r="P61" i="72"/>
  <c r="P47" i="72"/>
  <c r="P48" i="72"/>
  <c r="P62" i="72"/>
  <c r="P46" i="72"/>
  <c r="P60" i="72"/>
  <c r="I101" i="72"/>
  <c r="D101" i="72"/>
  <c r="D126" i="71"/>
  <c r="G126" i="71"/>
  <c r="P64" i="71"/>
  <c r="P65" i="71"/>
  <c r="P51" i="71"/>
  <c r="P66" i="71"/>
  <c r="P52" i="71"/>
  <c r="K126" i="71"/>
  <c r="C126" i="71"/>
  <c r="P50" i="71"/>
  <c r="L126" i="71"/>
  <c r="C93" i="74" l="1"/>
  <c r="C65" i="74"/>
  <c r="P101" i="72"/>
  <c r="P126" i="71"/>
  <c r="P107" i="70" l="1"/>
  <c r="P106" i="70"/>
  <c r="P105" i="70"/>
  <c r="P104" i="70"/>
  <c r="P103" i="70"/>
  <c r="P102" i="70"/>
  <c r="P101" i="70"/>
  <c r="P100" i="70"/>
  <c r="P99" i="70"/>
  <c r="P98" i="70"/>
  <c r="P97" i="70"/>
  <c r="P96" i="70"/>
  <c r="P95" i="70"/>
  <c r="P94" i="70"/>
  <c r="P93" i="70"/>
  <c r="P92" i="70"/>
  <c r="P91" i="70"/>
  <c r="P90" i="70"/>
  <c r="P89" i="70"/>
  <c r="P88" i="70"/>
  <c r="P87" i="70"/>
  <c r="L155" i="70"/>
  <c r="K155" i="70"/>
  <c r="B155" i="70"/>
  <c r="F154" i="70"/>
  <c r="C135" i="66"/>
  <c r="C122" i="67" s="1"/>
  <c r="C113" i="68" s="1"/>
  <c r="C156" i="70" s="1"/>
  <c r="C154" i="71" s="1"/>
  <c r="D135" i="66"/>
  <c r="D122" i="67" s="1"/>
  <c r="D154" i="71" s="1"/>
  <c r="C109" i="74" s="1"/>
  <c r="E135" i="66"/>
  <c r="E122" i="67" s="1"/>
  <c r="E113" i="68" s="1"/>
  <c r="E156" i="70" s="1"/>
  <c r="E154" i="71" s="1"/>
  <c r="F135" i="66"/>
  <c r="F122" i="67" s="1"/>
  <c r="F113" i="68" s="1"/>
  <c r="F156" i="70" s="1"/>
  <c r="F154" i="71" s="1"/>
  <c r="D109" i="74" s="1"/>
  <c r="G135" i="66"/>
  <c r="G122" i="67" s="1"/>
  <c r="G113" i="68" s="1"/>
  <c r="G156" i="70" s="1"/>
  <c r="G154" i="71" s="1"/>
  <c r="E109" i="74" s="1"/>
  <c r="H135" i="66"/>
  <c r="H122" i="67" s="1"/>
  <c r="H113" i="68" s="1"/>
  <c r="H156" i="70" s="1"/>
  <c r="H154" i="71" s="1"/>
  <c r="I135" i="66"/>
  <c r="I122" i="67" s="1"/>
  <c r="I113" i="68" s="1"/>
  <c r="I156" i="70" s="1"/>
  <c r="I154" i="71" s="1"/>
  <c r="F109" i="74" s="1"/>
  <c r="J135" i="66"/>
  <c r="J122" i="67" s="1"/>
  <c r="J113" i="68" s="1"/>
  <c r="J156" i="70" s="1"/>
  <c r="J154" i="71" s="1"/>
  <c r="G109" i="74" s="1"/>
  <c r="K135" i="66"/>
  <c r="K122" i="67" s="1"/>
  <c r="K113" i="68" s="1"/>
  <c r="K156" i="70" s="1"/>
  <c r="K154" i="71" s="1"/>
  <c r="H109" i="74" s="1"/>
  <c r="L135" i="66"/>
  <c r="L122" i="67" s="1"/>
  <c r="L113" i="68" s="1"/>
  <c r="L156" i="70" s="1"/>
  <c r="L154" i="71" s="1"/>
  <c r="I109" i="74" s="1"/>
  <c r="M135" i="66"/>
  <c r="M122" i="67" s="1"/>
  <c r="M113" i="68" s="1"/>
  <c r="M156" i="70" s="1"/>
  <c r="M154" i="71" s="1"/>
  <c r="J109" i="74" s="1"/>
  <c r="N135" i="66"/>
  <c r="N122" i="67" s="1"/>
  <c r="N113" i="68" s="1"/>
  <c r="N156" i="70" s="1"/>
  <c r="N154" i="71" s="1"/>
  <c r="O135" i="66"/>
  <c r="O122" i="67" s="1"/>
  <c r="O113" i="68" s="1"/>
  <c r="O156" i="70" s="1"/>
  <c r="O154" i="71" s="1"/>
  <c r="K109" i="74" s="1"/>
  <c r="C161" i="70"/>
  <c r="C34" i="70"/>
  <c r="E34" i="70"/>
  <c r="F34" i="70"/>
  <c r="G34" i="70"/>
  <c r="H34" i="70"/>
  <c r="I34" i="70"/>
  <c r="J34" i="70"/>
  <c r="L34" i="70"/>
  <c r="M34" i="70"/>
  <c r="N34" i="70"/>
  <c r="O34" i="70"/>
  <c r="C33" i="70"/>
  <c r="E33" i="70"/>
  <c r="F33" i="70"/>
  <c r="G33" i="70"/>
  <c r="H33" i="70"/>
  <c r="I33" i="70"/>
  <c r="J33" i="70"/>
  <c r="K33" i="70"/>
  <c r="M33" i="70"/>
  <c r="N33" i="70"/>
  <c r="O33" i="70"/>
  <c r="B33" i="70"/>
  <c r="L85" i="70"/>
  <c r="L33" i="70" s="1"/>
  <c r="K86" i="70"/>
  <c r="K34" i="70" s="1"/>
  <c r="L153" i="71" l="1"/>
  <c r="L160" i="71" s="1"/>
  <c r="B153" i="71"/>
  <c r="B160" i="71" s="1"/>
  <c r="K153" i="71"/>
  <c r="K160" i="71" s="1"/>
  <c r="P154" i="70"/>
  <c r="F152" i="71"/>
  <c r="J121" i="72"/>
  <c r="H118" i="73" s="1"/>
  <c r="C121" i="72"/>
  <c r="N121" i="72"/>
  <c r="O121" i="72"/>
  <c r="L118" i="73" s="1"/>
  <c r="M121" i="72"/>
  <c r="K118" i="73" s="1"/>
  <c r="I121" i="72"/>
  <c r="G118" i="73" s="1"/>
  <c r="E121" i="72"/>
  <c r="D118" i="73" s="1"/>
  <c r="K121" i="72"/>
  <c r="I118" i="73" s="1"/>
  <c r="F121" i="72"/>
  <c r="E118" i="73" s="1"/>
  <c r="L121" i="72"/>
  <c r="J118" i="73" s="1"/>
  <c r="H121" i="72"/>
  <c r="D121" i="72"/>
  <c r="C118" i="73" s="1"/>
  <c r="G121" i="72"/>
  <c r="F118" i="73" s="1"/>
  <c r="P33" i="70"/>
  <c r="P85" i="70"/>
  <c r="P155" i="70"/>
  <c r="F161" i="70"/>
  <c r="AA43" i="70"/>
  <c r="C169" i="70" s="1"/>
  <c r="AA44" i="70"/>
  <c r="E169" i="70" s="1"/>
  <c r="AA45" i="70"/>
  <c r="F169" i="70" s="1"/>
  <c r="AA46" i="70"/>
  <c r="J169" i="70" s="1"/>
  <c r="AA47" i="70"/>
  <c r="K169" i="70" s="1"/>
  <c r="AA48" i="70"/>
  <c r="L169" i="70" s="1"/>
  <c r="AA49" i="70"/>
  <c r="M169" i="70" s="1"/>
  <c r="AA50" i="70"/>
  <c r="N169" i="70" s="1"/>
  <c r="AA51" i="70"/>
  <c r="B170" i="70" s="1"/>
  <c r="AA52" i="70"/>
  <c r="C170" i="70" s="1"/>
  <c r="AA53" i="70"/>
  <c r="E170" i="70" s="1"/>
  <c r="AA54" i="70"/>
  <c r="F170" i="70" s="1"/>
  <c r="AA55" i="70"/>
  <c r="H170" i="70" s="1"/>
  <c r="AA56" i="70"/>
  <c r="I170" i="70" s="1"/>
  <c r="AA57" i="70"/>
  <c r="J170" i="70" s="1"/>
  <c r="AA58" i="70"/>
  <c r="K170" i="70" s="1"/>
  <c r="AA59" i="70"/>
  <c r="L170" i="70" s="1"/>
  <c r="AA60" i="70"/>
  <c r="M170" i="70" s="1"/>
  <c r="AA61" i="70"/>
  <c r="N170" i="70" s="1"/>
  <c r="AA62" i="70"/>
  <c r="B173" i="70" s="1"/>
  <c r="AA63" i="70"/>
  <c r="C173" i="70" s="1"/>
  <c r="AA64" i="70"/>
  <c r="E173" i="70" s="1"/>
  <c r="AA65" i="70"/>
  <c r="F173" i="70" s="1"/>
  <c r="AA66" i="70"/>
  <c r="H173" i="70" s="1"/>
  <c r="AA67" i="70"/>
  <c r="I173" i="70" s="1"/>
  <c r="AA68" i="70"/>
  <c r="J173" i="70" s="1"/>
  <c r="AA69" i="70"/>
  <c r="K173" i="70" s="1"/>
  <c r="AA70" i="70"/>
  <c r="L173" i="70" s="1"/>
  <c r="AA71" i="70"/>
  <c r="M173" i="70" s="1"/>
  <c r="AA72" i="70"/>
  <c r="N173" i="70" s="1"/>
  <c r="AA73" i="70"/>
  <c r="B171" i="70" s="1"/>
  <c r="AA74" i="70"/>
  <c r="C171" i="70" s="1"/>
  <c r="AA75" i="70"/>
  <c r="E171" i="70" s="1"/>
  <c r="AA76" i="70"/>
  <c r="F171" i="70" s="1"/>
  <c r="AA77" i="70"/>
  <c r="J171" i="70" s="1"/>
  <c r="AA78" i="70"/>
  <c r="K171" i="70" s="1"/>
  <c r="AA79" i="70"/>
  <c r="L171" i="70" s="1"/>
  <c r="AA80" i="70"/>
  <c r="M171" i="70" s="1"/>
  <c r="AA81" i="70"/>
  <c r="N171" i="70" s="1"/>
  <c r="AA82" i="70"/>
  <c r="B172" i="70" s="1"/>
  <c r="AA83" i="70"/>
  <c r="C172" i="70" s="1"/>
  <c r="AA84" i="70"/>
  <c r="E172" i="70" s="1"/>
  <c r="AA85" i="70"/>
  <c r="F172" i="70" s="1"/>
  <c r="AA86" i="70"/>
  <c r="J172" i="70" s="1"/>
  <c r="AA87" i="70"/>
  <c r="K172" i="70" s="1"/>
  <c r="AA88" i="70"/>
  <c r="L172" i="70" s="1"/>
  <c r="AA89" i="70"/>
  <c r="M172" i="70" s="1"/>
  <c r="AA90" i="70"/>
  <c r="N172" i="70" s="1"/>
  <c r="AA42" i="70"/>
  <c r="B169" i="70" s="1"/>
  <c r="N129" i="68"/>
  <c r="M129" i="68"/>
  <c r="L129" i="68"/>
  <c r="K129" i="68"/>
  <c r="J129" i="68"/>
  <c r="F129" i="68"/>
  <c r="E129" i="68"/>
  <c r="C129" i="68"/>
  <c r="B129" i="68"/>
  <c r="N128" i="68"/>
  <c r="M128" i="68"/>
  <c r="L128" i="68"/>
  <c r="K128" i="68"/>
  <c r="J128" i="68"/>
  <c r="F128" i="68"/>
  <c r="E128" i="68"/>
  <c r="C128" i="68"/>
  <c r="B128" i="68"/>
  <c r="N130" i="68"/>
  <c r="M130" i="68"/>
  <c r="L130" i="68"/>
  <c r="K130" i="68"/>
  <c r="J130" i="68"/>
  <c r="I130" i="68"/>
  <c r="H130" i="68"/>
  <c r="F130" i="68"/>
  <c r="E130" i="68"/>
  <c r="C130" i="68"/>
  <c r="B130" i="68"/>
  <c r="N127" i="68"/>
  <c r="M127" i="68"/>
  <c r="L127" i="68"/>
  <c r="K127" i="68"/>
  <c r="J127" i="68"/>
  <c r="I127" i="68"/>
  <c r="H127" i="68"/>
  <c r="F127" i="68"/>
  <c r="E127" i="68"/>
  <c r="C127" i="68"/>
  <c r="B127" i="68"/>
  <c r="N126" i="68"/>
  <c r="M126" i="68"/>
  <c r="L126" i="68"/>
  <c r="K126" i="68"/>
  <c r="J126" i="68"/>
  <c r="F126" i="68"/>
  <c r="E126" i="68"/>
  <c r="C126" i="68"/>
  <c r="F159" i="71" l="1"/>
  <c r="F119" i="72"/>
  <c r="E116" i="73" s="1"/>
  <c r="E114" i="74" s="1"/>
  <c r="P152" i="71"/>
  <c r="K120" i="72"/>
  <c r="K127" i="72" s="1"/>
  <c r="K124" i="73" s="1"/>
  <c r="L120" i="72"/>
  <c r="L127" i="72" s="1"/>
  <c r="B120" i="72"/>
  <c r="P153" i="71"/>
  <c r="C136" i="70"/>
  <c r="D136" i="70"/>
  <c r="E136" i="70"/>
  <c r="F136" i="70"/>
  <c r="G136" i="70"/>
  <c r="H136" i="70"/>
  <c r="I136" i="70"/>
  <c r="J136" i="70"/>
  <c r="K136" i="70"/>
  <c r="L136" i="70"/>
  <c r="M136" i="70"/>
  <c r="N136" i="70"/>
  <c r="O136" i="70"/>
  <c r="C137" i="70"/>
  <c r="D137" i="70"/>
  <c r="E137" i="70"/>
  <c r="F137" i="70"/>
  <c r="G137" i="70"/>
  <c r="H137" i="70"/>
  <c r="I137" i="70"/>
  <c r="J137" i="70"/>
  <c r="K137" i="70"/>
  <c r="L137" i="70"/>
  <c r="M137" i="70"/>
  <c r="N137" i="70"/>
  <c r="O137" i="70"/>
  <c r="C138" i="70"/>
  <c r="D138" i="70"/>
  <c r="E138" i="70"/>
  <c r="F138" i="70"/>
  <c r="G138" i="70"/>
  <c r="H138" i="70"/>
  <c r="I138" i="70"/>
  <c r="J138" i="70"/>
  <c r="K138" i="70"/>
  <c r="L138" i="70"/>
  <c r="M138" i="70"/>
  <c r="N138" i="70"/>
  <c r="O138" i="70"/>
  <c r="C139" i="70"/>
  <c r="D139" i="70"/>
  <c r="E139" i="70"/>
  <c r="F139" i="70"/>
  <c r="G139" i="70"/>
  <c r="H139" i="70"/>
  <c r="I139" i="70"/>
  <c r="J139" i="70"/>
  <c r="K139" i="70"/>
  <c r="L139" i="70"/>
  <c r="M139" i="70"/>
  <c r="N139" i="70"/>
  <c r="O139" i="70"/>
  <c r="C140" i="70"/>
  <c r="D140" i="70"/>
  <c r="E140" i="70"/>
  <c r="F140" i="70"/>
  <c r="G140" i="70"/>
  <c r="H140" i="70"/>
  <c r="I140" i="70"/>
  <c r="J140" i="70"/>
  <c r="K140" i="70"/>
  <c r="L140" i="70"/>
  <c r="M140" i="70"/>
  <c r="N140" i="70"/>
  <c r="O140" i="70"/>
  <c r="C142" i="70"/>
  <c r="D142" i="70"/>
  <c r="E142" i="70"/>
  <c r="F142" i="70"/>
  <c r="G142" i="70"/>
  <c r="H142" i="70"/>
  <c r="I142" i="70"/>
  <c r="J142" i="70"/>
  <c r="K142" i="70"/>
  <c r="L142" i="70"/>
  <c r="M142" i="70"/>
  <c r="N142" i="70"/>
  <c r="O142" i="70"/>
  <c r="C143" i="70"/>
  <c r="D143" i="70"/>
  <c r="E143" i="70"/>
  <c r="F143" i="70"/>
  <c r="G143" i="70"/>
  <c r="H143" i="70"/>
  <c r="I143" i="70"/>
  <c r="J143" i="70"/>
  <c r="K143" i="70"/>
  <c r="L143" i="70"/>
  <c r="M143" i="70"/>
  <c r="N143" i="70"/>
  <c r="O143" i="70"/>
  <c r="C144" i="70"/>
  <c r="D144" i="70"/>
  <c r="D148" i="70" s="1"/>
  <c r="D146" i="71" s="1"/>
  <c r="E144" i="70"/>
  <c r="F144" i="70"/>
  <c r="G144" i="70"/>
  <c r="H144" i="70"/>
  <c r="I144" i="70"/>
  <c r="J144" i="70"/>
  <c r="K144" i="70"/>
  <c r="L144" i="70"/>
  <c r="M144" i="70"/>
  <c r="N144" i="70"/>
  <c r="O144" i="70"/>
  <c r="C145" i="70"/>
  <c r="D145" i="70"/>
  <c r="E145" i="70"/>
  <c r="F145" i="70"/>
  <c r="G145" i="70"/>
  <c r="H145" i="70"/>
  <c r="I145" i="70"/>
  <c r="J145" i="70"/>
  <c r="K145" i="70"/>
  <c r="L145" i="70"/>
  <c r="M145" i="70"/>
  <c r="N145" i="70"/>
  <c r="O145" i="70"/>
  <c r="C146" i="70"/>
  <c r="D146" i="70"/>
  <c r="E146" i="70"/>
  <c r="F146" i="70"/>
  <c r="G146" i="70"/>
  <c r="H146" i="70"/>
  <c r="I146" i="70"/>
  <c r="J146" i="70"/>
  <c r="K146" i="70"/>
  <c r="L146" i="70"/>
  <c r="M146" i="70"/>
  <c r="N146" i="70"/>
  <c r="O146" i="70"/>
  <c r="B146" i="70"/>
  <c r="B145" i="70"/>
  <c r="B144" i="70"/>
  <c r="B143" i="70"/>
  <c r="B142" i="70"/>
  <c r="B140" i="70"/>
  <c r="B139" i="70"/>
  <c r="B138" i="70"/>
  <c r="B137" i="70"/>
  <c r="B136" i="70"/>
  <c r="O168" i="70"/>
  <c r="O167" i="70"/>
  <c r="P73" i="70"/>
  <c r="I120" i="70"/>
  <c r="H120" i="70"/>
  <c r="I119" i="70"/>
  <c r="H119" i="70"/>
  <c r="O28" i="70"/>
  <c r="G28" i="70"/>
  <c r="O21" i="70"/>
  <c r="N21" i="70"/>
  <c r="M21" i="70"/>
  <c r="L21" i="70"/>
  <c r="K21" i="70"/>
  <c r="J21" i="70"/>
  <c r="I21" i="70"/>
  <c r="H21" i="70"/>
  <c r="G21" i="70"/>
  <c r="F21" i="70"/>
  <c r="E21" i="70"/>
  <c r="C21" i="70"/>
  <c r="B21" i="70"/>
  <c r="O19" i="70"/>
  <c r="N19" i="70"/>
  <c r="M19" i="70"/>
  <c r="L19" i="70"/>
  <c r="K19" i="70"/>
  <c r="J19" i="70"/>
  <c r="I19" i="70"/>
  <c r="H19" i="70"/>
  <c r="G19" i="70"/>
  <c r="F19" i="70"/>
  <c r="E19" i="70"/>
  <c r="E179" i="70" s="1"/>
  <c r="D19" i="70"/>
  <c r="C19" i="70"/>
  <c r="B19" i="70"/>
  <c r="N18" i="70"/>
  <c r="L18" i="70"/>
  <c r="K18" i="70"/>
  <c r="I18" i="70"/>
  <c r="F18" i="70"/>
  <c r="E18" i="70"/>
  <c r="C18" i="70"/>
  <c r="B18" i="70"/>
  <c r="O16" i="70"/>
  <c r="O116" i="70" s="1"/>
  <c r="N16" i="70"/>
  <c r="N116" i="70" s="1"/>
  <c r="M16" i="70"/>
  <c r="M116" i="70" s="1"/>
  <c r="L16" i="70"/>
  <c r="L116" i="70" s="1"/>
  <c r="K16" i="70"/>
  <c r="K116" i="70" s="1"/>
  <c r="J16" i="70"/>
  <c r="J116" i="70" s="1"/>
  <c r="I16" i="70"/>
  <c r="I116" i="70" s="1"/>
  <c r="H16" i="70"/>
  <c r="G16" i="70"/>
  <c r="G116" i="70" s="1"/>
  <c r="F16" i="70"/>
  <c r="F116" i="70" s="1"/>
  <c r="E16" i="70"/>
  <c r="E116" i="70" s="1"/>
  <c r="C16" i="70"/>
  <c r="C116" i="70" s="1"/>
  <c r="B16" i="70"/>
  <c r="B116" i="70" s="1"/>
  <c r="O14" i="70"/>
  <c r="O115" i="70" s="1"/>
  <c r="N14" i="70"/>
  <c r="N115" i="70" s="1"/>
  <c r="M14" i="70"/>
  <c r="M115" i="70" s="1"/>
  <c r="L14" i="70"/>
  <c r="L115" i="70" s="1"/>
  <c r="K14" i="70"/>
  <c r="K115" i="70" s="1"/>
  <c r="J14" i="70"/>
  <c r="J115" i="70" s="1"/>
  <c r="I14" i="70"/>
  <c r="I115" i="70" s="1"/>
  <c r="H14" i="70"/>
  <c r="H115" i="70" s="1"/>
  <c r="G14" i="70"/>
  <c r="G115" i="70" s="1"/>
  <c r="F14" i="70"/>
  <c r="F115" i="70" s="1"/>
  <c r="E14" i="70"/>
  <c r="E115" i="70" s="1"/>
  <c r="C14" i="70"/>
  <c r="C115" i="70" s="1"/>
  <c r="B14" i="70"/>
  <c r="B115" i="70" s="1"/>
  <c r="O13" i="70"/>
  <c r="N13" i="70"/>
  <c r="M13" i="70"/>
  <c r="L13" i="70"/>
  <c r="K13" i="70"/>
  <c r="J13" i="70"/>
  <c r="I13" i="70"/>
  <c r="H13" i="70"/>
  <c r="G13" i="70"/>
  <c r="F13" i="70"/>
  <c r="E13" i="70"/>
  <c r="D13" i="70"/>
  <c r="C13" i="70"/>
  <c r="B13" i="70"/>
  <c r="O12" i="70"/>
  <c r="N12" i="70"/>
  <c r="M12" i="70"/>
  <c r="L12" i="70"/>
  <c r="K12" i="70"/>
  <c r="J12" i="70"/>
  <c r="I12" i="70"/>
  <c r="H12" i="70"/>
  <c r="G12" i="70"/>
  <c r="F12" i="70"/>
  <c r="E12" i="70"/>
  <c r="D12" i="70"/>
  <c r="C12" i="70"/>
  <c r="B12" i="70"/>
  <c r="O11" i="70"/>
  <c r="N11" i="70"/>
  <c r="M11" i="70"/>
  <c r="L11" i="70"/>
  <c r="K11" i="70"/>
  <c r="J11" i="70"/>
  <c r="I11" i="70"/>
  <c r="H11" i="70"/>
  <c r="G11" i="70"/>
  <c r="F11" i="70"/>
  <c r="D11" i="70"/>
  <c r="C11" i="70"/>
  <c r="B11" i="70"/>
  <c r="O8" i="70"/>
  <c r="N8" i="70"/>
  <c r="M8" i="70"/>
  <c r="L8" i="70"/>
  <c r="K8" i="70"/>
  <c r="J8" i="70"/>
  <c r="I8" i="70"/>
  <c r="H8" i="70"/>
  <c r="G8" i="70"/>
  <c r="F8" i="70"/>
  <c r="E8" i="70"/>
  <c r="D8" i="70"/>
  <c r="C8" i="70"/>
  <c r="B8" i="70"/>
  <c r="B126" i="68"/>
  <c r="O27" i="68"/>
  <c r="O125" i="68"/>
  <c r="O124" i="68"/>
  <c r="P68" i="68"/>
  <c r="I92" i="68"/>
  <c r="H92" i="68"/>
  <c r="I91" i="68"/>
  <c r="H91" i="68"/>
  <c r="G27" i="68"/>
  <c r="O20" i="68"/>
  <c r="N20" i="68"/>
  <c r="M20" i="68"/>
  <c r="L20" i="68"/>
  <c r="K20" i="68"/>
  <c r="J20" i="68"/>
  <c r="I20" i="68"/>
  <c r="H20" i="68"/>
  <c r="G20" i="68"/>
  <c r="F20" i="68"/>
  <c r="E20" i="68"/>
  <c r="C20" i="68"/>
  <c r="B20" i="68"/>
  <c r="O18" i="68"/>
  <c r="N18" i="68"/>
  <c r="M18" i="68"/>
  <c r="L18" i="68"/>
  <c r="K18" i="68"/>
  <c r="J18" i="68"/>
  <c r="I18" i="68"/>
  <c r="H18" i="68"/>
  <c r="G18" i="68"/>
  <c r="F18" i="68"/>
  <c r="E18" i="68"/>
  <c r="E137" i="68" s="1"/>
  <c r="D18" i="68"/>
  <c r="D103" i="68" s="1"/>
  <c r="C18" i="68"/>
  <c r="B18" i="68"/>
  <c r="N17" i="68"/>
  <c r="L17" i="68"/>
  <c r="K17" i="68"/>
  <c r="I17" i="68"/>
  <c r="F17" i="68"/>
  <c r="E17" i="68"/>
  <c r="C17" i="68"/>
  <c r="B17" i="68"/>
  <c r="O16" i="68"/>
  <c r="N16" i="68"/>
  <c r="M16" i="68"/>
  <c r="L16" i="68"/>
  <c r="K16" i="68"/>
  <c r="J16" i="68"/>
  <c r="I16" i="68"/>
  <c r="H16" i="68"/>
  <c r="G16" i="68"/>
  <c r="F16" i="68"/>
  <c r="E16" i="68"/>
  <c r="C16" i="68"/>
  <c r="B16" i="68"/>
  <c r="B90" i="68" s="1"/>
  <c r="B51" i="68" s="1"/>
  <c r="O15" i="68"/>
  <c r="N15" i="68"/>
  <c r="N88" i="68" s="1"/>
  <c r="M15" i="68"/>
  <c r="L15" i="68"/>
  <c r="K15" i="68"/>
  <c r="J15" i="68"/>
  <c r="I15" i="68"/>
  <c r="H15" i="68"/>
  <c r="G15" i="68"/>
  <c r="F15" i="68"/>
  <c r="E15" i="68"/>
  <c r="C15" i="68"/>
  <c r="B15" i="68"/>
  <c r="O14" i="68"/>
  <c r="O87" i="68" s="1"/>
  <c r="N14" i="68"/>
  <c r="N87" i="68" s="1"/>
  <c r="M14" i="68"/>
  <c r="M87" i="68" s="1"/>
  <c r="L14" i="68"/>
  <c r="L87" i="68" s="1"/>
  <c r="K14" i="68"/>
  <c r="K87" i="68" s="1"/>
  <c r="J14" i="68"/>
  <c r="J87" i="68" s="1"/>
  <c r="I14" i="68"/>
  <c r="I87" i="68" s="1"/>
  <c r="H14" i="68"/>
  <c r="G14" i="68"/>
  <c r="G87" i="68" s="1"/>
  <c r="F14" i="68"/>
  <c r="F87" i="68" s="1"/>
  <c r="E14" i="68"/>
  <c r="E87" i="68" s="1"/>
  <c r="C14" i="68"/>
  <c r="B14" i="68"/>
  <c r="B87" i="68" s="1"/>
  <c r="O13" i="68"/>
  <c r="N13" i="68"/>
  <c r="M13" i="68"/>
  <c r="L13" i="68"/>
  <c r="K13" i="68"/>
  <c r="J13" i="68"/>
  <c r="I13" i="68"/>
  <c r="H13" i="68"/>
  <c r="G13" i="68"/>
  <c r="F13" i="68"/>
  <c r="E13" i="68"/>
  <c r="C13" i="68"/>
  <c r="B13" i="68"/>
  <c r="O12" i="68"/>
  <c r="N12" i="68"/>
  <c r="M12" i="68"/>
  <c r="L12" i="68"/>
  <c r="K12" i="68"/>
  <c r="J12" i="68"/>
  <c r="I12" i="68"/>
  <c r="H12" i="68"/>
  <c r="G12" i="68"/>
  <c r="F12" i="68"/>
  <c r="E12" i="68"/>
  <c r="D12" i="68"/>
  <c r="C12" i="68"/>
  <c r="B12" i="68"/>
  <c r="O11" i="68"/>
  <c r="N11" i="68"/>
  <c r="N137" i="68" s="1"/>
  <c r="M11" i="68"/>
  <c r="M137" i="68" s="1"/>
  <c r="L11" i="68"/>
  <c r="L137" i="68" s="1"/>
  <c r="K11" i="68"/>
  <c r="K137" i="68" s="1"/>
  <c r="J11" i="68"/>
  <c r="J137" i="68" s="1"/>
  <c r="I11" i="68"/>
  <c r="H11" i="68"/>
  <c r="G11" i="68"/>
  <c r="F11" i="68"/>
  <c r="F137" i="68" s="1"/>
  <c r="D11" i="68"/>
  <c r="C11" i="68"/>
  <c r="B11" i="68"/>
  <c r="O8" i="68"/>
  <c r="N8" i="68"/>
  <c r="M8" i="68"/>
  <c r="L8" i="68"/>
  <c r="K8" i="68"/>
  <c r="J8" i="68"/>
  <c r="I8" i="68"/>
  <c r="H8" i="68"/>
  <c r="G8" i="68"/>
  <c r="F8" i="68"/>
  <c r="E8" i="68"/>
  <c r="D8" i="68"/>
  <c r="C8" i="68"/>
  <c r="B8" i="68"/>
  <c r="G137" i="68" l="1"/>
  <c r="G119" i="68"/>
  <c r="O137" i="68"/>
  <c r="O119" i="68"/>
  <c r="H89" i="68"/>
  <c r="H90" i="68"/>
  <c r="H51" i="68" s="1"/>
  <c r="B117" i="73"/>
  <c r="B127" i="72"/>
  <c r="F179" i="70"/>
  <c r="J179" i="70"/>
  <c r="N179" i="70"/>
  <c r="B162" i="70"/>
  <c r="B179" i="70"/>
  <c r="G162" i="70"/>
  <c r="G179" i="70"/>
  <c r="K162" i="70"/>
  <c r="K179" i="70"/>
  <c r="O162" i="70"/>
  <c r="O179" i="70"/>
  <c r="C179" i="70"/>
  <c r="L162" i="70"/>
  <c r="L179" i="70"/>
  <c r="D149" i="70"/>
  <c r="D147" i="71" s="1"/>
  <c r="D179" i="70"/>
  <c r="M179" i="70"/>
  <c r="B137" i="68"/>
  <c r="C137" i="68"/>
  <c r="D137" i="68"/>
  <c r="C74" i="68"/>
  <c r="C87" i="68"/>
  <c r="H74" i="68"/>
  <c r="H87" i="68"/>
  <c r="D158" i="71"/>
  <c r="D125" i="72" s="1"/>
  <c r="C122" i="73" s="1"/>
  <c r="D157" i="71"/>
  <c r="D124" i="72" s="1"/>
  <c r="C121" i="73" s="1"/>
  <c r="K136" i="68"/>
  <c r="K97" i="68" s="1"/>
  <c r="L136" i="68"/>
  <c r="L97" i="68" s="1"/>
  <c r="G24" i="68"/>
  <c r="O24" i="68"/>
  <c r="O136" i="68"/>
  <c r="O97" i="68" s="1"/>
  <c r="E136" i="68"/>
  <c r="E97" i="68" s="1"/>
  <c r="M136" i="68"/>
  <c r="M97" i="68" s="1"/>
  <c r="C136" i="68"/>
  <c r="C97" i="68" s="1"/>
  <c r="B136" i="68"/>
  <c r="B97" i="68" s="1"/>
  <c r="F136" i="68"/>
  <c r="F97" i="68" s="1"/>
  <c r="J136" i="68"/>
  <c r="J97" i="68" s="1"/>
  <c r="N136" i="68"/>
  <c r="N97" i="68" s="1"/>
  <c r="B178" i="70"/>
  <c r="B125" i="70" s="1"/>
  <c r="C178" i="70"/>
  <c r="C125" i="70" s="1"/>
  <c r="K178" i="70"/>
  <c r="K125" i="70" s="1"/>
  <c r="L178" i="70"/>
  <c r="L125" i="70" s="1"/>
  <c r="F178" i="70"/>
  <c r="F125" i="70" s="1"/>
  <c r="J178" i="70"/>
  <c r="J125" i="70" s="1"/>
  <c r="N178" i="70"/>
  <c r="G25" i="70"/>
  <c r="O25" i="70"/>
  <c r="O178" i="70"/>
  <c r="O125" i="70" s="1"/>
  <c r="E178" i="70"/>
  <c r="E125" i="70" s="1"/>
  <c r="M178" i="70"/>
  <c r="M125" i="70" s="1"/>
  <c r="B108" i="74"/>
  <c r="B122" i="74" s="1"/>
  <c r="I152" i="70"/>
  <c r="I150" i="71" s="1"/>
  <c r="I153" i="70"/>
  <c r="I151" i="71" s="1"/>
  <c r="B80" i="70"/>
  <c r="J117" i="73"/>
  <c r="I117" i="73"/>
  <c r="K80" i="70"/>
  <c r="D107" i="74"/>
  <c r="E123" i="73"/>
  <c r="M116" i="73"/>
  <c r="G152" i="70"/>
  <c r="G150" i="71" s="1"/>
  <c r="G153" i="70"/>
  <c r="G151" i="71" s="1"/>
  <c r="O153" i="70"/>
  <c r="O151" i="71" s="1"/>
  <c r="O152" i="70"/>
  <c r="O150" i="71" s="1"/>
  <c r="H116" i="70"/>
  <c r="P116" i="70" s="1"/>
  <c r="H79" i="70"/>
  <c r="C79" i="70"/>
  <c r="L180" i="70"/>
  <c r="L44" i="70" s="1"/>
  <c r="L55" i="70" s="1"/>
  <c r="H180" i="70"/>
  <c r="M43" i="70"/>
  <c r="M54" i="70" s="1"/>
  <c r="J43" i="70"/>
  <c r="J54" i="70" s="1"/>
  <c r="N125" i="70"/>
  <c r="N43" i="70"/>
  <c r="N54" i="70" s="1"/>
  <c r="L15" i="70"/>
  <c r="L124" i="70" s="1"/>
  <c r="K43" i="70"/>
  <c r="K54" i="70" s="1"/>
  <c r="O43" i="70"/>
  <c r="O54" i="70" s="1"/>
  <c r="I43" i="70"/>
  <c r="I54" i="70" s="1"/>
  <c r="H43" i="70"/>
  <c r="H54" i="70" s="1"/>
  <c r="L43" i="70"/>
  <c r="L54" i="70" s="1"/>
  <c r="B180" i="70"/>
  <c r="B75" i="68"/>
  <c r="K75" i="68"/>
  <c r="G38" i="68"/>
  <c r="G49" i="68" s="1"/>
  <c r="H38" i="68"/>
  <c r="H49" i="68" s="1"/>
  <c r="I38" i="68"/>
  <c r="I49" i="68" s="1"/>
  <c r="I39" i="68"/>
  <c r="I50" i="68" s="1"/>
  <c r="E90" i="68"/>
  <c r="E51" i="68" s="1"/>
  <c r="E89" i="68"/>
  <c r="B39" i="68"/>
  <c r="B50" i="68" s="1"/>
  <c r="F39" i="68"/>
  <c r="F50" i="68" s="1"/>
  <c r="J38" i="68"/>
  <c r="J49" i="68" s="1"/>
  <c r="N39" i="68"/>
  <c r="N50" i="68" s="1"/>
  <c r="N38" i="68"/>
  <c r="N49" i="68" s="1"/>
  <c r="D38" i="68"/>
  <c r="D49" i="68" s="1"/>
  <c r="L39" i="68"/>
  <c r="L50" i="68" s="1"/>
  <c r="L38" i="68"/>
  <c r="L49" i="68" s="1"/>
  <c r="E39" i="68"/>
  <c r="E50" i="68" s="1"/>
  <c r="M38" i="68"/>
  <c r="M49" i="68" s="1"/>
  <c r="F90" i="68"/>
  <c r="F51" i="68" s="1"/>
  <c r="F89" i="68"/>
  <c r="C39" i="68"/>
  <c r="C50" i="68" s="1"/>
  <c r="K38" i="68"/>
  <c r="K49" i="68" s="1"/>
  <c r="K39" i="68"/>
  <c r="K50" i="68" s="1"/>
  <c r="O38" i="68"/>
  <c r="O49" i="68" s="1"/>
  <c r="F126" i="72"/>
  <c r="P119" i="72"/>
  <c r="P120" i="72"/>
  <c r="H15" i="70"/>
  <c r="I15" i="70"/>
  <c r="M15" i="70"/>
  <c r="M124" i="70" s="1"/>
  <c r="O180" i="70"/>
  <c r="G180" i="70"/>
  <c r="B15" i="70"/>
  <c r="B124" i="70" s="1"/>
  <c r="F15" i="70"/>
  <c r="F124" i="70" s="1"/>
  <c r="J15" i="70"/>
  <c r="J124" i="70" s="1"/>
  <c r="N15" i="70"/>
  <c r="N124" i="70" s="1"/>
  <c r="N180" i="70"/>
  <c r="N44" i="70" s="1"/>
  <c r="N55" i="70" s="1"/>
  <c r="J180" i="70"/>
  <c r="F180" i="70"/>
  <c r="E15" i="70"/>
  <c r="E124" i="70" s="1"/>
  <c r="K180" i="70"/>
  <c r="K44" i="70" s="1"/>
  <c r="K55" i="70" s="1"/>
  <c r="C180" i="70"/>
  <c r="C44" i="70" s="1"/>
  <c r="C55" i="70" s="1"/>
  <c r="C15" i="70"/>
  <c r="C124" i="70" s="1"/>
  <c r="G15" i="70"/>
  <c r="K15" i="70"/>
  <c r="K124" i="70" s="1"/>
  <c r="O15" i="70"/>
  <c r="O124" i="70" s="1"/>
  <c r="M180" i="70"/>
  <c r="I180" i="70"/>
  <c r="I44" i="70" s="1"/>
  <c r="I55" i="70" s="1"/>
  <c r="E180" i="70"/>
  <c r="G96" i="68"/>
  <c r="B110" i="70"/>
  <c r="N112" i="70"/>
  <c r="J113" i="70"/>
  <c r="I110" i="70"/>
  <c r="M110" i="70"/>
  <c r="G113" i="70"/>
  <c r="K112" i="70"/>
  <c r="O110" i="70"/>
  <c r="P138" i="70"/>
  <c r="P142" i="70"/>
  <c r="P146" i="70"/>
  <c r="H110" i="70"/>
  <c r="P143" i="70"/>
  <c r="E112" i="70"/>
  <c r="I113" i="70"/>
  <c r="M112" i="70"/>
  <c r="P136" i="70"/>
  <c r="P140" i="70"/>
  <c r="P144" i="70"/>
  <c r="P139" i="70"/>
  <c r="F113" i="70"/>
  <c r="J112" i="70"/>
  <c r="N113" i="70"/>
  <c r="P137" i="70"/>
  <c r="P141" i="70"/>
  <c r="P145" i="70"/>
  <c r="F85" i="68"/>
  <c r="F36" i="70" s="1"/>
  <c r="J85" i="68"/>
  <c r="J36" i="70" s="1"/>
  <c r="N84" i="68"/>
  <c r="N35" i="70" s="1"/>
  <c r="C85" i="68"/>
  <c r="C36" i="70" s="1"/>
  <c r="G85" i="68"/>
  <c r="G36" i="70" s="1"/>
  <c r="K84" i="68"/>
  <c r="K35" i="70" s="1"/>
  <c r="O84" i="68"/>
  <c r="O35" i="70" s="1"/>
  <c r="L85" i="68"/>
  <c r="L36" i="70" s="1"/>
  <c r="E85" i="68"/>
  <c r="E36" i="70" s="1"/>
  <c r="I85" i="68"/>
  <c r="I36" i="70" s="1"/>
  <c r="M85" i="68"/>
  <c r="M36" i="70" s="1"/>
  <c r="F112" i="70"/>
  <c r="F110" i="70"/>
  <c r="J110" i="70"/>
  <c r="N110" i="70"/>
  <c r="M113" i="70"/>
  <c r="B82" i="68"/>
  <c r="F83" i="68"/>
  <c r="C82" i="68"/>
  <c r="E84" i="68"/>
  <c r="E35" i="70" s="1"/>
  <c r="K82" i="68"/>
  <c r="O82" i="68"/>
  <c r="H83" i="68"/>
  <c r="M83" i="68"/>
  <c r="J84" i="68"/>
  <c r="J35" i="70" s="1"/>
  <c r="C84" i="68"/>
  <c r="C35" i="70" s="1"/>
  <c r="O85" i="68"/>
  <c r="O36" i="70" s="1"/>
  <c r="B113" i="70"/>
  <c r="I82" i="68"/>
  <c r="I84" i="68"/>
  <c r="I35" i="70" s="1"/>
  <c r="C83" i="68"/>
  <c r="G83" i="68"/>
  <c r="K83" i="68"/>
  <c r="O83" i="68"/>
  <c r="E82" i="68"/>
  <c r="G84" i="68"/>
  <c r="G35" i="70" s="1"/>
  <c r="K85" i="68"/>
  <c r="K36" i="70" s="1"/>
  <c r="C113" i="70"/>
  <c r="C112" i="70"/>
  <c r="C110" i="70"/>
  <c r="G112" i="70"/>
  <c r="G110" i="70"/>
  <c r="K110" i="70"/>
  <c r="K113" i="70"/>
  <c r="O113" i="70"/>
  <c r="O112" i="70"/>
  <c r="H84" i="68"/>
  <c r="H35" i="70" s="1"/>
  <c r="H85" i="68"/>
  <c r="H36" i="70" s="1"/>
  <c r="H82" i="68"/>
  <c r="L84" i="68"/>
  <c r="L35" i="70" s="1"/>
  <c r="L82" i="68"/>
  <c r="L83" i="68"/>
  <c r="E110" i="70"/>
  <c r="H113" i="70"/>
  <c r="H112" i="70"/>
  <c r="L113" i="70"/>
  <c r="L112" i="70"/>
  <c r="I112" i="70"/>
  <c r="L110" i="70"/>
  <c r="E113" i="70"/>
  <c r="M82" i="68"/>
  <c r="J83" i="68"/>
  <c r="E83" i="68"/>
  <c r="M84" i="68"/>
  <c r="M35" i="70" s="1"/>
  <c r="F82" i="68"/>
  <c r="J82" i="68"/>
  <c r="N82" i="68"/>
  <c r="G82" i="68"/>
  <c r="N83" i="68"/>
  <c r="I83" i="68"/>
  <c r="F84" i="68"/>
  <c r="F35" i="70" s="1"/>
  <c r="N85" i="68"/>
  <c r="N36" i="70" s="1"/>
  <c r="P120" i="70"/>
  <c r="P28" i="70"/>
  <c r="P119" i="70"/>
  <c r="I111" i="70"/>
  <c r="B114" i="70"/>
  <c r="B25" i="70" s="1"/>
  <c r="F114" i="70"/>
  <c r="F25" i="70" s="1"/>
  <c r="J114" i="70"/>
  <c r="J25" i="70" s="1"/>
  <c r="N114" i="70"/>
  <c r="N25" i="70" s="1"/>
  <c r="B112" i="70"/>
  <c r="B111" i="70"/>
  <c r="F111" i="70"/>
  <c r="J111" i="70"/>
  <c r="N111" i="70"/>
  <c r="M111" i="70"/>
  <c r="C114" i="70"/>
  <c r="C25" i="70" s="1"/>
  <c r="G114" i="70"/>
  <c r="G178" i="70" s="1"/>
  <c r="G125" i="70" s="1"/>
  <c r="K114" i="70"/>
  <c r="K25" i="70" s="1"/>
  <c r="O114" i="70"/>
  <c r="C111" i="70"/>
  <c r="G111" i="70"/>
  <c r="K111" i="70"/>
  <c r="O111" i="70"/>
  <c r="E114" i="70"/>
  <c r="E25" i="70" s="1"/>
  <c r="I114" i="70"/>
  <c r="I178" i="70" s="1"/>
  <c r="I179" i="70" s="1"/>
  <c r="M114" i="70"/>
  <c r="M25" i="70" s="1"/>
  <c r="E111" i="70"/>
  <c r="H114" i="70"/>
  <c r="H178" i="70" s="1"/>
  <c r="H179" i="70" s="1"/>
  <c r="L114" i="70"/>
  <c r="L25" i="70" s="1"/>
  <c r="H111" i="70"/>
  <c r="L111" i="70"/>
  <c r="B85" i="68"/>
  <c r="B36" i="70" s="1"/>
  <c r="B83" i="68"/>
  <c r="P91" i="68"/>
  <c r="P92" i="68"/>
  <c r="P27" i="68"/>
  <c r="E86" i="68"/>
  <c r="E24" i="68" s="1"/>
  <c r="B96" i="68"/>
  <c r="B86" i="68"/>
  <c r="B24" i="68" s="1"/>
  <c r="G88" i="68"/>
  <c r="C88" i="68"/>
  <c r="O88" i="68"/>
  <c r="F96" i="68"/>
  <c r="F86" i="68"/>
  <c r="F24" i="68" s="1"/>
  <c r="J96" i="68"/>
  <c r="J86" i="68"/>
  <c r="J24" i="68" s="1"/>
  <c r="N96" i="68"/>
  <c r="N86" i="68"/>
  <c r="N24" i="68" s="1"/>
  <c r="K88" i="68"/>
  <c r="G86" i="68"/>
  <c r="G136" i="68" s="1"/>
  <c r="G97" i="68" s="1"/>
  <c r="I88" i="68"/>
  <c r="K96" i="68"/>
  <c r="K86" i="68"/>
  <c r="K24" i="68" s="1"/>
  <c r="O96" i="68"/>
  <c r="O86" i="68"/>
  <c r="H88" i="68"/>
  <c r="L86" i="68"/>
  <c r="L24" i="68" s="1"/>
  <c r="L96" i="68"/>
  <c r="E88" i="68"/>
  <c r="M88" i="68"/>
  <c r="C89" i="68"/>
  <c r="C90" i="68"/>
  <c r="C51" i="68" s="1"/>
  <c r="B84" i="68"/>
  <c r="B35" i="70" s="1"/>
  <c r="H86" i="68"/>
  <c r="H136" i="68" s="1"/>
  <c r="H137" i="68" s="1"/>
  <c r="H96" i="68" s="1"/>
  <c r="L88" i="68"/>
  <c r="C96" i="68"/>
  <c r="C86" i="68"/>
  <c r="C24" i="68" s="1"/>
  <c r="E96" i="68"/>
  <c r="I86" i="68"/>
  <c r="I136" i="68" s="1"/>
  <c r="I137" i="68" s="1"/>
  <c r="I96" i="68" s="1"/>
  <c r="M96" i="68"/>
  <c r="B88" i="68"/>
  <c r="F88" i="68"/>
  <c r="J88" i="68"/>
  <c r="M86" i="68"/>
  <c r="M24" i="68" s="1"/>
  <c r="B89" i="68"/>
  <c r="P74" i="68" l="1"/>
  <c r="H62" i="68"/>
  <c r="H46" i="68"/>
  <c r="H45" i="68"/>
  <c r="H47" i="68"/>
  <c r="H59" i="68"/>
  <c r="H60" i="68"/>
  <c r="H61" i="68"/>
  <c r="E62" i="68"/>
  <c r="E45" i="68"/>
  <c r="E59" i="68"/>
  <c r="E61" i="68"/>
  <c r="E46" i="68"/>
  <c r="E47" i="68"/>
  <c r="E60" i="68"/>
  <c r="C38" i="68"/>
  <c r="C49" i="68" s="1"/>
  <c r="J62" i="68"/>
  <c r="J45" i="68"/>
  <c r="J46" i="68"/>
  <c r="J47" i="68"/>
  <c r="J60" i="68"/>
  <c r="J59" i="68"/>
  <c r="J61" i="68"/>
  <c r="B38" i="68"/>
  <c r="B49" i="68" s="1"/>
  <c r="K62" i="68"/>
  <c r="K47" i="68"/>
  <c r="K59" i="68"/>
  <c r="K60" i="68"/>
  <c r="K61" i="68"/>
  <c r="K45" i="68"/>
  <c r="K46" i="68"/>
  <c r="M62" i="68"/>
  <c r="M45" i="68"/>
  <c r="M47" i="68"/>
  <c r="M59" i="68"/>
  <c r="M61" i="68"/>
  <c r="M46" i="68"/>
  <c r="M60" i="68"/>
  <c r="C62" i="68"/>
  <c r="C47" i="68"/>
  <c r="C45" i="68"/>
  <c r="C59" i="68"/>
  <c r="C60" i="68"/>
  <c r="C61" i="68"/>
  <c r="C46" i="68"/>
  <c r="N62" i="68"/>
  <c r="N46" i="68"/>
  <c r="N47" i="68"/>
  <c r="N45" i="68"/>
  <c r="N61" i="68"/>
  <c r="N60" i="68"/>
  <c r="N59" i="68"/>
  <c r="F62" i="68"/>
  <c r="F46" i="68"/>
  <c r="F47" i="68"/>
  <c r="F45" i="68"/>
  <c r="F59" i="68"/>
  <c r="F60" i="68"/>
  <c r="F61" i="68"/>
  <c r="G62" i="68"/>
  <c r="G47" i="68"/>
  <c r="G59" i="68"/>
  <c r="G60" i="68"/>
  <c r="G61" i="68"/>
  <c r="G45" i="68"/>
  <c r="G46" i="68"/>
  <c r="F38" i="68"/>
  <c r="F49" i="68" s="1"/>
  <c r="E38" i="68"/>
  <c r="E49" i="68" s="1"/>
  <c r="I62" i="68"/>
  <c r="I45" i="68"/>
  <c r="I47" i="68"/>
  <c r="I60" i="68"/>
  <c r="I46" i="68"/>
  <c r="I59" i="68"/>
  <c r="I61" i="68"/>
  <c r="L62" i="68"/>
  <c r="L46" i="68"/>
  <c r="L47" i="68"/>
  <c r="L59" i="68"/>
  <c r="L60" i="68"/>
  <c r="L61" i="68"/>
  <c r="L45" i="68"/>
  <c r="O62" i="68"/>
  <c r="O47" i="68"/>
  <c r="O59" i="68"/>
  <c r="O60" i="68"/>
  <c r="O61" i="68"/>
  <c r="O45" i="68"/>
  <c r="O46" i="68"/>
  <c r="B62" i="68"/>
  <c r="B47" i="68"/>
  <c r="B59" i="68"/>
  <c r="B45" i="68"/>
  <c r="B61" i="68"/>
  <c r="I115" i="74"/>
  <c r="I124" i="73"/>
  <c r="J115" i="74"/>
  <c r="J124" i="73"/>
  <c r="J122" i="74" s="1"/>
  <c r="B115" i="74"/>
  <c r="B124" i="73"/>
  <c r="B67" i="70"/>
  <c r="B50" i="70"/>
  <c r="B66" i="70"/>
  <c r="B64" i="70"/>
  <c r="B52" i="70"/>
  <c r="E67" i="70"/>
  <c r="E52" i="70"/>
  <c r="E65" i="70"/>
  <c r="E66" i="70"/>
  <c r="E50" i="70"/>
  <c r="E51" i="70"/>
  <c r="E64" i="70"/>
  <c r="N67" i="70"/>
  <c r="N51" i="70"/>
  <c r="N64" i="70"/>
  <c r="N52" i="70"/>
  <c r="N65" i="70"/>
  <c r="N66" i="70"/>
  <c r="N50" i="70"/>
  <c r="L67" i="70"/>
  <c r="L66" i="70"/>
  <c r="L50" i="70"/>
  <c r="L51" i="70"/>
  <c r="L64" i="70"/>
  <c r="L52" i="70"/>
  <c r="L65" i="70"/>
  <c r="J67" i="70"/>
  <c r="J51" i="70"/>
  <c r="J64" i="70"/>
  <c r="J52" i="70"/>
  <c r="J65" i="70"/>
  <c r="J66" i="70"/>
  <c r="J50" i="70"/>
  <c r="K67" i="70"/>
  <c r="K50" i="70"/>
  <c r="K51" i="70"/>
  <c r="K64" i="70"/>
  <c r="K52" i="70"/>
  <c r="K65" i="70"/>
  <c r="K66" i="70"/>
  <c r="C67" i="70"/>
  <c r="C50" i="70"/>
  <c r="C51" i="70"/>
  <c r="C64" i="70"/>
  <c r="C52" i="70"/>
  <c r="C65" i="70"/>
  <c r="C66" i="70"/>
  <c r="O67" i="70"/>
  <c r="O50" i="70"/>
  <c r="O51" i="70"/>
  <c r="O64" i="70"/>
  <c r="O52" i="70"/>
  <c r="O65" i="70"/>
  <c r="O66" i="70"/>
  <c r="F67" i="70"/>
  <c r="F51" i="70"/>
  <c r="F64" i="70"/>
  <c r="F52" i="70"/>
  <c r="F65" i="70"/>
  <c r="F66" i="70"/>
  <c r="F50" i="70"/>
  <c r="M67" i="70"/>
  <c r="M52" i="70"/>
  <c r="M65" i="70"/>
  <c r="M66" i="70"/>
  <c r="M50" i="70"/>
  <c r="M51" i="70"/>
  <c r="M64" i="70"/>
  <c r="M149" i="70"/>
  <c r="N148" i="70"/>
  <c r="N146" i="71" s="1"/>
  <c r="C149" i="70"/>
  <c r="B117" i="70"/>
  <c r="B86" i="70"/>
  <c r="G148" i="70"/>
  <c r="G146" i="71" s="1"/>
  <c r="E148" i="70"/>
  <c r="E146" i="71" s="1"/>
  <c r="F149" i="70"/>
  <c r="F147" i="71" s="1"/>
  <c r="G149" i="70"/>
  <c r="G147" i="71" s="1"/>
  <c r="K148" i="70"/>
  <c r="K146" i="71" s="1"/>
  <c r="I148" i="70"/>
  <c r="I146" i="71" s="1"/>
  <c r="M148" i="70"/>
  <c r="M146" i="71" s="1"/>
  <c r="B148" i="70"/>
  <c r="B146" i="71" s="1"/>
  <c r="E149" i="70"/>
  <c r="E147" i="71" s="1"/>
  <c r="J149" i="70"/>
  <c r="J147" i="71" s="1"/>
  <c r="K149" i="70"/>
  <c r="K147" i="71" s="1"/>
  <c r="F148" i="70"/>
  <c r="F146" i="71" s="1"/>
  <c r="O148" i="70"/>
  <c r="O146" i="71" s="1"/>
  <c r="H148" i="70"/>
  <c r="H146" i="71" s="1"/>
  <c r="H149" i="70"/>
  <c r="H147" i="71" s="1"/>
  <c r="I149" i="70"/>
  <c r="I147" i="71" s="1"/>
  <c r="N149" i="70"/>
  <c r="N147" i="71" s="1"/>
  <c r="O149" i="70"/>
  <c r="O147" i="71" s="1"/>
  <c r="J148" i="70"/>
  <c r="J146" i="71" s="1"/>
  <c r="C148" i="70"/>
  <c r="C146" i="71" s="1"/>
  <c r="B149" i="70"/>
  <c r="B147" i="71" s="1"/>
  <c r="L148" i="70"/>
  <c r="L146" i="71" s="1"/>
  <c r="L149" i="70"/>
  <c r="L147" i="71" s="1"/>
  <c r="M147" i="71"/>
  <c r="E44" i="70"/>
  <c r="E55" i="70" s="1"/>
  <c r="C147" i="71"/>
  <c r="H24" i="68"/>
  <c r="H97" i="68"/>
  <c r="I97" i="68"/>
  <c r="I24" i="68"/>
  <c r="J152" i="70"/>
  <c r="J150" i="71" s="1"/>
  <c r="J117" i="72" s="1"/>
  <c r="H25" i="70"/>
  <c r="H125" i="70"/>
  <c r="I125" i="70"/>
  <c r="I25" i="70"/>
  <c r="B153" i="70"/>
  <c r="B151" i="71" s="1"/>
  <c r="H152" i="70"/>
  <c r="H150" i="71" s="1"/>
  <c r="H117" i="72" s="1"/>
  <c r="F152" i="70"/>
  <c r="F150" i="71" s="1"/>
  <c r="F117" i="72" s="1"/>
  <c r="M152" i="70"/>
  <c r="M150" i="71" s="1"/>
  <c r="M117" i="72" s="1"/>
  <c r="E152" i="70"/>
  <c r="E150" i="71" s="1"/>
  <c r="E77" i="71" s="1"/>
  <c r="P57" i="70"/>
  <c r="C152" i="70"/>
  <c r="C150" i="71" s="1"/>
  <c r="C117" i="72" s="1"/>
  <c r="H153" i="70"/>
  <c r="H151" i="71" s="1"/>
  <c r="H118" i="72" s="1"/>
  <c r="F153" i="70"/>
  <c r="F151" i="71" s="1"/>
  <c r="F76" i="71" s="1"/>
  <c r="M153" i="70"/>
  <c r="M151" i="71" s="1"/>
  <c r="M76" i="71" s="1"/>
  <c r="E153" i="70"/>
  <c r="E151" i="71" s="1"/>
  <c r="E118" i="72" s="1"/>
  <c r="L153" i="70"/>
  <c r="L151" i="71" s="1"/>
  <c r="L76" i="71" s="1"/>
  <c r="D117" i="72"/>
  <c r="K152" i="70"/>
  <c r="K150" i="71" s="1"/>
  <c r="K117" i="72" s="1"/>
  <c r="C153" i="70"/>
  <c r="C151" i="71" s="1"/>
  <c r="C76" i="71" s="1"/>
  <c r="J153" i="70"/>
  <c r="J151" i="71" s="1"/>
  <c r="J118" i="72" s="1"/>
  <c r="B152" i="70"/>
  <c r="B77" i="70" s="1"/>
  <c r="L152" i="70"/>
  <c r="L150" i="71" s="1"/>
  <c r="L77" i="71" s="1"/>
  <c r="K153" i="70"/>
  <c r="K151" i="71" s="1"/>
  <c r="K118" i="72" s="1"/>
  <c r="N152" i="70"/>
  <c r="N150" i="71" s="1"/>
  <c r="N117" i="72" s="1"/>
  <c r="N153" i="70"/>
  <c r="N151" i="71" s="1"/>
  <c r="N118" i="72" s="1"/>
  <c r="O118" i="72"/>
  <c r="O76" i="71"/>
  <c r="H108" i="74"/>
  <c r="H122" i="74" s="1"/>
  <c r="I117" i="72"/>
  <c r="I77" i="71"/>
  <c r="G118" i="72"/>
  <c r="G76" i="71"/>
  <c r="G117" i="72"/>
  <c r="G77" i="71"/>
  <c r="I108" i="74"/>
  <c r="I122" i="74" s="1"/>
  <c r="M117" i="73"/>
  <c r="O117" i="72"/>
  <c r="O77" i="71"/>
  <c r="D121" i="74"/>
  <c r="L107" i="74"/>
  <c r="I118" i="72"/>
  <c r="I76" i="71"/>
  <c r="I124" i="70"/>
  <c r="G77" i="70"/>
  <c r="G76" i="70"/>
  <c r="O77" i="70"/>
  <c r="O76" i="70"/>
  <c r="I76" i="70"/>
  <c r="I77" i="70"/>
  <c r="H32" i="70"/>
  <c r="M31" i="70"/>
  <c r="N27" i="70"/>
  <c r="F26" i="70"/>
  <c r="K32" i="70"/>
  <c r="O26" i="70"/>
  <c r="G31" i="70"/>
  <c r="L32" i="70"/>
  <c r="I31" i="70"/>
  <c r="J31" i="70"/>
  <c r="B32" i="70"/>
  <c r="B44" i="70"/>
  <c r="B55" i="70" s="1"/>
  <c r="B118" i="70"/>
  <c r="B56" i="70" s="1"/>
  <c r="H124" i="70"/>
  <c r="M84" i="71"/>
  <c r="M83" i="71"/>
  <c r="F118" i="70"/>
  <c r="F56" i="70" s="1"/>
  <c r="F117" i="70"/>
  <c r="C118" i="70"/>
  <c r="C56" i="70" s="1"/>
  <c r="E117" i="70"/>
  <c r="E118" i="70"/>
  <c r="E56" i="70" s="1"/>
  <c r="F44" i="70"/>
  <c r="F55" i="70" s="1"/>
  <c r="C117" i="70"/>
  <c r="G43" i="70"/>
  <c r="G54" i="70" s="1"/>
  <c r="O71" i="68"/>
  <c r="O72" i="68"/>
  <c r="N71" i="68"/>
  <c r="N72" i="68"/>
  <c r="H71" i="68"/>
  <c r="H72" i="68"/>
  <c r="I71" i="68"/>
  <c r="I72" i="68"/>
  <c r="K71" i="68"/>
  <c r="K72" i="68"/>
  <c r="B71" i="68"/>
  <c r="B72" i="68"/>
  <c r="G71" i="68"/>
  <c r="G72" i="68"/>
  <c r="J71" i="68"/>
  <c r="J72" i="68"/>
  <c r="F71" i="68"/>
  <c r="F72" i="68"/>
  <c r="M71" i="68"/>
  <c r="M72" i="68"/>
  <c r="L71" i="68"/>
  <c r="L72" i="68"/>
  <c r="E71" i="68"/>
  <c r="E72" i="68"/>
  <c r="C72" i="68"/>
  <c r="C71" i="68"/>
  <c r="K30" i="68"/>
  <c r="F30" i="68"/>
  <c r="B30" i="68"/>
  <c r="E31" i="68"/>
  <c r="I31" i="68"/>
  <c r="O31" i="68"/>
  <c r="C30" i="68"/>
  <c r="G31" i="68"/>
  <c r="M83" i="70"/>
  <c r="M84" i="70"/>
  <c r="G124" i="70"/>
  <c r="I30" i="71"/>
  <c r="E30" i="71"/>
  <c r="L30" i="71"/>
  <c r="D30" i="71"/>
  <c r="C30" i="71"/>
  <c r="G31" i="71"/>
  <c r="N30" i="71"/>
  <c r="B30" i="71"/>
  <c r="O30" i="71"/>
  <c r="M30" i="71"/>
  <c r="F30" i="71"/>
  <c r="J30" i="71"/>
  <c r="K30" i="71"/>
  <c r="H30" i="71"/>
  <c r="O31" i="71"/>
  <c r="G30" i="71"/>
  <c r="F31" i="71"/>
  <c r="E31" i="71"/>
  <c r="L31" i="71"/>
  <c r="D31" i="71"/>
  <c r="C31" i="71"/>
  <c r="N31" i="71"/>
  <c r="I31" i="71"/>
  <c r="H31" i="71"/>
  <c r="K31" i="71"/>
  <c r="B31" i="71"/>
  <c r="M31" i="71"/>
  <c r="J31" i="71"/>
  <c r="O31" i="70"/>
  <c r="B27" i="70"/>
  <c r="B26" i="70"/>
  <c r="N26" i="70"/>
  <c r="O27" i="70"/>
  <c r="F31" i="70"/>
  <c r="B31" i="70"/>
  <c r="P36" i="70"/>
  <c r="P35" i="70"/>
  <c r="C26" i="70"/>
  <c r="O32" i="70"/>
  <c r="C27" i="70"/>
  <c r="C32" i="70"/>
  <c r="C31" i="70"/>
  <c r="M27" i="70"/>
  <c r="E31" i="70"/>
  <c r="L31" i="70"/>
  <c r="E27" i="70"/>
  <c r="J27" i="70"/>
  <c r="G27" i="70"/>
  <c r="G32" i="70"/>
  <c r="F32" i="70"/>
  <c r="L27" i="70"/>
  <c r="H31" i="70"/>
  <c r="E32" i="70"/>
  <c r="M26" i="70"/>
  <c r="K27" i="70"/>
  <c r="J32" i="70"/>
  <c r="J26" i="70"/>
  <c r="M40" i="70"/>
  <c r="M30" i="70"/>
  <c r="M39" i="70"/>
  <c r="K31" i="70"/>
  <c r="O39" i="70"/>
  <c r="O40" i="70"/>
  <c r="O30" i="70"/>
  <c r="N31" i="70"/>
  <c r="P110" i="70"/>
  <c r="P112" i="70"/>
  <c r="P114" i="70"/>
  <c r="B39" i="70"/>
  <c r="B40" i="70"/>
  <c r="B30" i="70"/>
  <c r="I32" i="70"/>
  <c r="E26" i="70"/>
  <c r="B65" i="70"/>
  <c r="B51" i="70"/>
  <c r="C39" i="70"/>
  <c r="C40" i="70"/>
  <c r="C30" i="70"/>
  <c r="F39" i="70"/>
  <c r="F40" i="70"/>
  <c r="F30" i="70"/>
  <c r="F27" i="70"/>
  <c r="L39" i="70"/>
  <c r="L40" i="70"/>
  <c r="L30" i="70"/>
  <c r="L26" i="70"/>
  <c r="I40" i="70"/>
  <c r="I30" i="70"/>
  <c r="I39" i="70"/>
  <c r="K39" i="70"/>
  <c r="K40" i="70"/>
  <c r="K26" i="70"/>
  <c r="K30" i="70"/>
  <c r="N39" i="70"/>
  <c r="N40" i="70"/>
  <c r="N30" i="70"/>
  <c r="I26" i="70"/>
  <c r="H39" i="70"/>
  <c r="H40" i="70"/>
  <c r="H30" i="70"/>
  <c r="H27" i="70"/>
  <c r="E40" i="70"/>
  <c r="E30" i="70"/>
  <c r="E39" i="70"/>
  <c r="I27" i="70"/>
  <c r="G39" i="70"/>
  <c r="G40" i="70"/>
  <c r="G30" i="70"/>
  <c r="G26" i="70"/>
  <c r="M32" i="70"/>
  <c r="N32" i="70"/>
  <c r="P111" i="70"/>
  <c r="P113" i="70"/>
  <c r="J39" i="70"/>
  <c r="J30" i="70"/>
  <c r="J40" i="70"/>
  <c r="P115" i="70"/>
  <c r="H26" i="70"/>
  <c r="J25" i="68"/>
  <c r="J29" i="68"/>
  <c r="J34" i="68"/>
  <c r="J35" i="68"/>
  <c r="J31" i="68"/>
  <c r="H25" i="68"/>
  <c r="H34" i="68"/>
  <c r="H35" i="68"/>
  <c r="H31" i="68"/>
  <c r="H29" i="68"/>
  <c r="G26" i="68"/>
  <c r="G29" i="68"/>
  <c r="G34" i="68"/>
  <c r="G35" i="68"/>
  <c r="N25" i="68"/>
  <c r="N29" i="68"/>
  <c r="N34" i="68"/>
  <c r="N35" i="68"/>
  <c r="N31" i="68"/>
  <c r="O30" i="68"/>
  <c r="I34" i="68"/>
  <c r="I35" i="68"/>
  <c r="I29" i="68"/>
  <c r="I30" i="68"/>
  <c r="N30" i="68"/>
  <c r="H30" i="68"/>
  <c r="M34" i="68"/>
  <c r="M35" i="68"/>
  <c r="M29" i="68"/>
  <c r="M30" i="68"/>
  <c r="K29" i="68"/>
  <c r="K34" i="68"/>
  <c r="K35" i="68"/>
  <c r="O26" i="68"/>
  <c r="O34" i="68"/>
  <c r="O29" i="68"/>
  <c r="O35" i="68"/>
  <c r="K31" i="68"/>
  <c r="J30" i="68"/>
  <c r="C29" i="68"/>
  <c r="C34" i="68"/>
  <c r="C35" i="68"/>
  <c r="L26" i="68"/>
  <c r="L34" i="68"/>
  <c r="L35" i="68"/>
  <c r="L31" i="68"/>
  <c r="L29" i="68"/>
  <c r="F26" i="68"/>
  <c r="F29" i="68"/>
  <c r="F34" i="68"/>
  <c r="F35" i="68"/>
  <c r="B26" i="68"/>
  <c r="B35" i="68"/>
  <c r="B34" i="68"/>
  <c r="B29" i="68"/>
  <c r="E34" i="68"/>
  <c r="E35" i="68"/>
  <c r="E29" i="68"/>
  <c r="E30" i="68"/>
  <c r="C31" i="68"/>
  <c r="B31" i="68"/>
  <c r="F31" i="68"/>
  <c r="L30" i="68"/>
  <c r="G30" i="68"/>
  <c r="M31" i="68"/>
  <c r="J26" i="68"/>
  <c r="C26" i="68"/>
  <c r="E25" i="68"/>
  <c r="E26" i="68"/>
  <c r="N26" i="68"/>
  <c r="I26" i="68"/>
  <c r="M26" i="68"/>
  <c r="H26" i="68"/>
  <c r="K26" i="68"/>
  <c r="P82" i="68"/>
  <c r="P51" i="68"/>
  <c r="P89" i="68"/>
  <c r="P52" i="68"/>
  <c r="P84" i="68"/>
  <c r="G25" i="68"/>
  <c r="P86" i="68"/>
  <c r="P83" i="68"/>
  <c r="F25" i="68"/>
  <c r="M25" i="68"/>
  <c r="K25" i="68"/>
  <c r="K95" i="68" s="1"/>
  <c r="L25" i="68"/>
  <c r="P96" i="68"/>
  <c r="B46" i="68"/>
  <c r="B60" i="68"/>
  <c r="P85" i="68"/>
  <c r="B25" i="68"/>
  <c r="I25" i="68"/>
  <c r="O25" i="68"/>
  <c r="P90" i="68"/>
  <c r="P88" i="68"/>
  <c r="C25" i="68"/>
  <c r="P87" i="68"/>
  <c r="N121" i="71" l="1"/>
  <c r="F121" i="71"/>
  <c r="J77" i="70"/>
  <c r="L123" i="70"/>
  <c r="B95" i="68"/>
  <c r="F95" i="68"/>
  <c r="K123" i="70"/>
  <c r="B121" i="71"/>
  <c r="L95" i="68"/>
  <c r="N95" i="68"/>
  <c r="I95" i="68"/>
  <c r="C95" i="68"/>
  <c r="E95" i="68"/>
  <c r="N123" i="70"/>
  <c r="I123" i="70"/>
  <c r="B43" i="70"/>
  <c r="B54" i="70"/>
  <c r="L121" i="71"/>
  <c r="E43" i="70"/>
  <c r="E123" i="70" s="1"/>
  <c r="E121" i="71"/>
  <c r="C43" i="70"/>
  <c r="C123" i="70" s="1"/>
  <c r="K121" i="71"/>
  <c r="C121" i="71"/>
  <c r="I121" i="71"/>
  <c r="F43" i="70"/>
  <c r="F54" i="70" s="1"/>
  <c r="P38" i="68"/>
  <c r="H66" i="70"/>
  <c r="H50" i="70"/>
  <c r="H51" i="70"/>
  <c r="H64" i="70"/>
  <c r="H52" i="70"/>
  <c r="H65" i="70"/>
  <c r="G50" i="70"/>
  <c r="G51" i="70"/>
  <c r="G64" i="70"/>
  <c r="G52" i="70"/>
  <c r="G65" i="70"/>
  <c r="G66" i="70"/>
  <c r="I52" i="70"/>
  <c r="I65" i="70"/>
  <c r="I66" i="70"/>
  <c r="I50" i="70"/>
  <c r="I51" i="70"/>
  <c r="I64" i="70"/>
  <c r="B34" i="70"/>
  <c r="P86" i="70"/>
  <c r="J76" i="70"/>
  <c r="B150" i="71"/>
  <c r="B77" i="71" s="1"/>
  <c r="L76" i="70"/>
  <c r="B76" i="70"/>
  <c r="H76" i="70"/>
  <c r="F76" i="70"/>
  <c r="K76" i="70"/>
  <c r="M76" i="70"/>
  <c r="K77" i="70"/>
  <c r="M118" i="72"/>
  <c r="K115" i="73" s="1"/>
  <c r="J113" i="74" s="1"/>
  <c r="K76" i="71"/>
  <c r="J77" i="71"/>
  <c r="C76" i="70"/>
  <c r="E76" i="70"/>
  <c r="P97" i="68"/>
  <c r="C77" i="70"/>
  <c r="E76" i="71"/>
  <c r="C77" i="71"/>
  <c r="E117" i="72"/>
  <c r="D77" i="71"/>
  <c r="K77" i="71"/>
  <c r="P125" i="70"/>
  <c r="F77" i="71"/>
  <c r="F77" i="70"/>
  <c r="L117" i="72"/>
  <c r="L73" i="72" s="1"/>
  <c r="G67" i="70"/>
  <c r="H67" i="70"/>
  <c r="I67" i="70"/>
  <c r="F118" i="72"/>
  <c r="F72" i="72" s="1"/>
  <c r="L77" i="70"/>
  <c r="M77" i="70"/>
  <c r="C118" i="72"/>
  <c r="C72" i="72" s="1"/>
  <c r="J76" i="71"/>
  <c r="N77" i="71"/>
  <c r="L118" i="72"/>
  <c r="L72" i="72" s="1"/>
  <c r="N76" i="71"/>
  <c r="E77" i="70"/>
  <c r="N77" i="70"/>
  <c r="H76" i="71"/>
  <c r="M77" i="71"/>
  <c r="H77" i="71"/>
  <c r="H77" i="70"/>
  <c r="P153" i="70"/>
  <c r="N76" i="70"/>
  <c r="P152" i="70"/>
  <c r="H114" i="73"/>
  <c r="G112" i="74" s="1"/>
  <c r="J73" i="72"/>
  <c r="B118" i="72"/>
  <c r="B76" i="71"/>
  <c r="F114" i="73"/>
  <c r="E112" i="74" s="1"/>
  <c r="G73" i="72"/>
  <c r="I115" i="73"/>
  <c r="H113" i="74" s="1"/>
  <c r="K72" i="72"/>
  <c r="C114" i="73"/>
  <c r="D73" i="72"/>
  <c r="H72" i="72"/>
  <c r="G114" i="73"/>
  <c r="F112" i="74" s="1"/>
  <c r="I73" i="72"/>
  <c r="N73" i="72"/>
  <c r="H73" i="72"/>
  <c r="L115" i="73"/>
  <c r="K113" i="74" s="1"/>
  <c r="O72" i="72"/>
  <c r="E72" i="72"/>
  <c r="K114" i="73"/>
  <c r="J112" i="74" s="1"/>
  <c r="M73" i="72"/>
  <c r="G115" i="73"/>
  <c r="F113" i="74" s="1"/>
  <c r="I72" i="72"/>
  <c r="H115" i="73"/>
  <c r="G113" i="74" s="1"/>
  <c r="J72" i="72"/>
  <c r="L114" i="73"/>
  <c r="K112" i="74" s="1"/>
  <c r="O73" i="72"/>
  <c r="E114" i="73"/>
  <c r="D112" i="74" s="1"/>
  <c r="F73" i="72"/>
  <c r="I114" i="73"/>
  <c r="H112" i="74" s="1"/>
  <c r="K73" i="72"/>
  <c r="L108" i="74"/>
  <c r="N72" i="72"/>
  <c r="F115" i="73"/>
  <c r="E113" i="74" s="1"/>
  <c r="G72" i="72"/>
  <c r="C73" i="72"/>
  <c r="P124" i="70"/>
  <c r="P56" i="70"/>
  <c r="P118" i="70"/>
  <c r="P117" i="70"/>
  <c r="P30" i="71"/>
  <c r="L95" i="72"/>
  <c r="L42" i="72"/>
  <c r="C120" i="71"/>
  <c r="C46" i="71"/>
  <c r="F120" i="71"/>
  <c r="F46" i="71"/>
  <c r="E32" i="71"/>
  <c r="E120" i="71" s="1"/>
  <c r="H32" i="71"/>
  <c r="B46" i="71"/>
  <c r="P31" i="71"/>
  <c r="B120" i="71"/>
  <c r="K42" i="72"/>
  <c r="K95" i="72"/>
  <c r="N46" i="71"/>
  <c r="N120" i="71"/>
  <c r="E42" i="72"/>
  <c r="E95" i="72"/>
  <c r="F95" i="72"/>
  <c r="F42" i="72"/>
  <c r="I95" i="72"/>
  <c r="I42" i="72"/>
  <c r="B42" i="72"/>
  <c r="B95" i="72"/>
  <c r="K33" i="71"/>
  <c r="P33" i="71" s="1"/>
  <c r="I120" i="71"/>
  <c r="I46" i="71"/>
  <c r="L120" i="71"/>
  <c r="L46" i="71"/>
  <c r="P149" i="70"/>
  <c r="P148" i="70"/>
  <c r="P31" i="70"/>
  <c r="P32" i="70"/>
  <c r="P27" i="70"/>
  <c r="E128" i="70"/>
  <c r="N128" i="70"/>
  <c r="M128" i="70"/>
  <c r="B128" i="70"/>
  <c r="O128" i="70"/>
  <c r="P30" i="70"/>
  <c r="C128" i="70"/>
  <c r="P25" i="70"/>
  <c r="P40" i="70"/>
  <c r="P26" i="70"/>
  <c r="J128" i="70"/>
  <c r="F128" i="70"/>
  <c r="K128" i="70"/>
  <c r="L128" i="70"/>
  <c r="P39" i="70"/>
  <c r="P30" i="68"/>
  <c r="P29" i="68"/>
  <c r="P35" i="68"/>
  <c r="P31" i="68"/>
  <c r="P34" i="68"/>
  <c r="L41" i="68"/>
  <c r="K94" i="68"/>
  <c r="L94" i="68"/>
  <c r="K41" i="68"/>
  <c r="P49" i="68"/>
  <c r="E94" i="68"/>
  <c r="C94" i="68"/>
  <c r="P61" i="68"/>
  <c r="O100" i="68"/>
  <c r="F94" i="68"/>
  <c r="F41" i="68"/>
  <c r="P47" i="68"/>
  <c r="I94" i="68"/>
  <c r="K100" i="68"/>
  <c r="L100" i="68"/>
  <c r="P25" i="68"/>
  <c r="E41" i="68"/>
  <c r="P60" i="68"/>
  <c r="P59" i="68"/>
  <c r="P26" i="68"/>
  <c r="N41" i="68"/>
  <c r="I41" i="68"/>
  <c r="C41" i="68"/>
  <c r="N100" i="68"/>
  <c r="J100" i="68"/>
  <c r="C100" i="68"/>
  <c r="I100" i="68"/>
  <c r="G100" i="68"/>
  <c r="B94" i="68"/>
  <c r="B41" i="68"/>
  <c r="P24" i="68"/>
  <c r="H100" i="68"/>
  <c r="E100" i="68"/>
  <c r="B100" i="68"/>
  <c r="P45" i="68"/>
  <c r="P46" i="68"/>
  <c r="F100" i="68"/>
  <c r="M100" i="68"/>
  <c r="N94" i="68"/>
  <c r="C54" i="70" l="1"/>
  <c r="E54" i="70"/>
  <c r="P54" i="70"/>
  <c r="P43" i="70"/>
  <c r="F123" i="70"/>
  <c r="P34" i="70"/>
  <c r="B123" i="70"/>
  <c r="B117" i="72"/>
  <c r="P63" i="72" s="1"/>
  <c r="P150" i="71"/>
  <c r="D98" i="73"/>
  <c r="D41" i="73"/>
  <c r="J114" i="73"/>
  <c r="I112" i="74" s="1"/>
  <c r="P76" i="70"/>
  <c r="M72" i="72"/>
  <c r="E73" i="72"/>
  <c r="E115" i="73"/>
  <c r="D113" i="74" s="1"/>
  <c r="P77" i="70"/>
  <c r="P67" i="70"/>
  <c r="P77" i="71"/>
  <c r="J115" i="73"/>
  <c r="I113" i="74" s="1"/>
  <c r="C112" i="74"/>
  <c r="C105" i="74"/>
  <c r="I128" i="70"/>
  <c r="L71" i="73"/>
  <c r="K106" i="74"/>
  <c r="I71" i="73"/>
  <c r="H106" i="74"/>
  <c r="H71" i="73"/>
  <c r="G106" i="74"/>
  <c r="F72" i="73"/>
  <c r="E105" i="74"/>
  <c r="K72" i="73"/>
  <c r="P52" i="70"/>
  <c r="I72" i="73"/>
  <c r="H105" i="74"/>
  <c r="L72" i="73"/>
  <c r="K105" i="74"/>
  <c r="G71" i="73"/>
  <c r="F106" i="74"/>
  <c r="H72" i="73"/>
  <c r="G105" i="74"/>
  <c r="E72" i="73"/>
  <c r="D105" i="74"/>
  <c r="F71" i="73"/>
  <c r="E106" i="74"/>
  <c r="G72" i="73"/>
  <c r="F105" i="74"/>
  <c r="K71" i="73"/>
  <c r="C72" i="73"/>
  <c r="P50" i="70"/>
  <c r="P64" i="70"/>
  <c r="B73" i="72"/>
  <c r="B115" i="73"/>
  <c r="B72" i="72"/>
  <c r="P79" i="70"/>
  <c r="H128" i="70"/>
  <c r="P65" i="70"/>
  <c r="G128" i="70"/>
  <c r="P51" i="70"/>
  <c r="P66" i="70"/>
  <c r="E46" i="71"/>
  <c r="K120" i="71"/>
  <c r="P147" i="71"/>
  <c r="K46" i="71"/>
  <c r="P146" i="71"/>
  <c r="P32" i="71"/>
  <c r="P100" i="68"/>
  <c r="B114" i="73" l="1"/>
  <c r="B112" i="74" s="1"/>
  <c r="L112" i="74" s="1"/>
  <c r="P117" i="72"/>
  <c r="I105" i="74"/>
  <c r="E71" i="73"/>
  <c r="J72" i="73"/>
  <c r="D106" i="74"/>
  <c r="I106" i="74"/>
  <c r="J71" i="73"/>
  <c r="B105" i="74"/>
  <c r="B106" i="74"/>
  <c r="B113" i="74"/>
  <c r="B72" i="73"/>
  <c r="B71" i="73"/>
  <c r="P128" i="70"/>
  <c r="M72" i="73" l="1"/>
  <c r="B148" i="66"/>
  <c r="C148" i="66"/>
  <c r="D148" i="66"/>
  <c r="E148" i="66"/>
  <c r="F148" i="66"/>
  <c r="G148" i="66"/>
  <c r="H148" i="66"/>
  <c r="I148" i="66"/>
  <c r="J148" i="66"/>
  <c r="K148" i="66"/>
  <c r="L148" i="66"/>
  <c r="M148" i="66"/>
  <c r="N148" i="66"/>
  <c r="O148" i="66"/>
  <c r="G110" i="64"/>
  <c r="G27" i="64" s="1"/>
  <c r="G30" i="62"/>
  <c r="O129" i="62"/>
  <c r="O122" i="25"/>
  <c r="O27" i="25" s="1"/>
  <c r="O128" i="50"/>
  <c r="O135" i="63"/>
  <c r="G33" i="67" l="1"/>
  <c r="N19" i="67"/>
  <c r="C18" i="67"/>
  <c r="E18" i="67"/>
  <c r="F18" i="67"/>
  <c r="G18" i="67"/>
  <c r="H18" i="67"/>
  <c r="I18" i="67"/>
  <c r="J18" i="67"/>
  <c r="K18" i="67"/>
  <c r="L18" i="67"/>
  <c r="M18" i="67"/>
  <c r="N18" i="67"/>
  <c r="O18" i="67"/>
  <c r="B18" i="67"/>
  <c r="N16" i="67"/>
  <c r="N95" i="67" s="1"/>
  <c r="C15" i="67"/>
  <c r="E15" i="67"/>
  <c r="E94" i="67" s="1"/>
  <c r="F15" i="67"/>
  <c r="F94" i="67" s="1"/>
  <c r="G15" i="67"/>
  <c r="G94" i="67" s="1"/>
  <c r="H15" i="67"/>
  <c r="I15" i="67"/>
  <c r="I94" i="67" s="1"/>
  <c r="J15" i="67"/>
  <c r="J94" i="67" s="1"/>
  <c r="K15" i="67"/>
  <c r="K94" i="67" s="1"/>
  <c r="L15" i="67"/>
  <c r="L94" i="67" s="1"/>
  <c r="M15" i="67"/>
  <c r="M94" i="67" s="1"/>
  <c r="N15" i="67"/>
  <c r="N94" i="67" s="1"/>
  <c r="O15" i="67"/>
  <c r="O94" i="67" s="1"/>
  <c r="B15" i="67"/>
  <c r="B94" i="67" s="1"/>
  <c r="H12" i="67"/>
  <c r="O136" i="67"/>
  <c r="O134" i="67"/>
  <c r="P71" i="67"/>
  <c r="I100" i="67"/>
  <c r="H100" i="67"/>
  <c r="I99" i="67"/>
  <c r="H99" i="67"/>
  <c r="O23" i="67"/>
  <c r="N23" i="67"/>
  <c r="M23" i="67"/>
  <c r="L23" i="67"/>
  <c r="K23" i="67"/>
  <c r="J23" i="67"/>
  <c r="I23" i="67"/>
  <c r="H23" i="67"/>
  <c r="G23" i="67"/>
  <c r="F23" i="67"/>
  <c r="E23" i="67"/>
  <c r="D23" i="67"/>
  <c r="C23" i="67"/>
  <c r="B23" i="67"/>
  <c r="O21" i="67"/>
  <c r="O149" i="67" s="1"/>
  <c r="N21" i="67"/>
  <c r="M21" i="67"/>
  <c r="L21" i="67"/>
  <c r="K21" i="67"/>
  <c r="J21" i="67"/>
  <c r="I21" i="67"/>
  <c r="H21" i="67"/>
  <c r="G21" i="67"/>
  <c r="F21" i="67"/>
  <c r="E21" i="67"/>
  <c r="E149" i="67" s="1"/>
  <c r="D21" i="67"/>
  <c r="C21" i="67"/>
  <c r="B21" i="67"/>
  <c r="N20" i="67"/>
  <c r="L20" i="67"/>
  <c r="K20" i="67"/>
  <c r="I20" i="67"/>
  <c r="F20" i="67"/>
  <c r="E20" i="67"/>
  <c r="C20" i="67"/>
  <c r="B20" i="67"/>
  <c r="O17" i="67"/>
  <c r="O96" i="67" s="1"/>
  <c r="N17" i="67"/>
  <c r="N96" i="67" s="1"/>
  <c r="M17" i="67"/>
  <c r="M96" i="67" s="1"/>
  <c r="L17" i="67"/>
  <c r="L96" i="67" s="1"/>
  <c r="K17" i="67"/>
  <c r="K96" i="67" s="1"/>
  <c r="J17" i="67"/>
  <c r="J96" i="67" s="1"/>
  <c r="I17" i="67"/>
  <c r="I96" i="67" s="1"/>
  <c r="H17" i="67"/>
  <c r="H96" i="67" s="1"/>
  <c r="G17" i="67"/>
  <c r="G96" i="67" s="1"/>
  <c r="F17" i="67"/>
  <c r="F96" i="67" s="1"/>
  <c r="E17" i="67"/>
  <c r="E96" i="67" s="1"/>
  <c r="C17" i="67"/>
  <c r="C96" i="67" s="1"/>
  <c r="B17" i="67"/>
  <c r="B96" i="67" s="1"/>
  <c r="O14" i="67"/>
  <c r="N14" i="67"/>
  <c r="M14" i="67"/>
  <c r="L14" i="67"/>
  <c r="K14" i="67"/>
  <c r="J14" i="67"/>
  <c r="I14" i="67"/>
  <c r="H14" i="67"/>
  <c r="G14" i="67"/>
  <c r="F14" i="67"/>
  <c r="E14" i="67"/>
  <c r="D14" i="67"/>
  <c r="C14" i="67"/>
  <c r="B14" i="67"/>
  <c r="O13" i="67"/>
  <c r="N13" i="67"/>
  <c r="M13" i="67"/>
  <c r="L13" i="67"/>
  <c r="K13" i="67"/>
  <c r="J13" i="67"/>
  <c r="I13" i="67"/>
  <c r="H13" i="67"/>
  <c r="G13" i="67"/>
  <c r="F13" i="67"/>
  <c r="E13" i="67"/>
  <c r="D13" i="67"/>
  <c r="C13" i="67"/>
  <c r="B13" i="67"/>
  <c r="N12" i="67"/>
  <c r="M12" i="67"/>
  <c r="L12" i="67"/>
  <c r="L149" i="67" s="1"/>
  <c r="K12" i="67"/>
  <c r="J12" i="67"/>
  <c r="I12" i="67"/>
  <c r="G12" i="67"/>
  <c r="F12" i="67"/>
  <c r="F149" i="67" s="1"/>
  <c r="D12" i="67"/>
  <c r="D149" i="67" s="1"/>
  <c r="C12" i="67"/>
  <c r="C149" i="67" s="1"/>
  <c r="B12" i="67"/>
  <c r="B149" i="67" s="1"/>
  <c r="O8" i="67"/>
  <c r="N8" i="67"/>
  <c r="M8" i="67"/>
  <c r="L8" i="67"/>
  <c r="K8" i="67"/>
  <c r="J8" i="67"/>
  <c r="I8" i="67"/>
  <c r="H8" i="67"/>
  <c r="G8" i="67"/>
  <c r="F8" i="67"/>
  <c r="E8" i="67"/>
  <c r="D8" i="67"/>
  <c r="C8" i="67"/>
  <c r="B8" i="67"/>
  <c r="G149" i="67" l="1"/>
  <c r="G128" i="67"/>
  <c r="K149" i="67"/>
  <c r="H98" i="67"/>
  <c r="H54" i="67" s="1"/>
  <c r="H97" i="67"/>
  <c r="M149" i="67"/>
  <c r="J149" i="67"/>
  <c r="N149" i="67"/>
  <c r="O88" i="67"/>
  <c r="O91" i="67"/>
  <c r="O89" i="67"/>
  <c r="O90" i="67"/>
  <c r="H77" i="67"/>
  <c r="H94" i="67"/>
  <c r="C77" i="67"/>
  <c r="C94" i="67"/>
  <c r="L148" i="67"/>
  <c r="L105" i="67" s="1"/>
  <c r="E148" i="67"/>
  <c r="E105" i="67" s="1"/>
  <c r="M148" i="67"/>
  <c r="B148" i="67"/>
  <c r="B105" i="67" s="1"/>
  <c r="F148" i="67"/>
  <c r="F105" i="67" s="1"/>
  <c r="J148" i="67"/>
  <c r="J105" i="67" s="1"/>
  <c r="N148" i="67"/>
  <c r="N105" i="67" s="1"/>
  <c r="C148" i="67"/>
  <c r="G27" i="67"/>
  <c r="K148" i="67"/>
  <c r="K105" i="67" s="1"/>
  <c r="O148" i="67"/>
  <c r="O105" i="67" s="1"/>
  <c r="E42" i="67"/>
  <c r="E53" i="67" s="1"/>
  <c r="I42" i="67"/>
  <c r="I53" i="67" s="1"/>
  <c r="L42" i="67"/>
  <c r="L53" i="67" s="1"/>
  <c r="B78" i="67"/>
  <c r="F42" i="67"/>
  <c r="F53" i="67" s="1"/>
  <c r="N42" i="67"/>
  <c r="N53" i="67" s="1"/>
  <c r="C42" i="67"/>
  <c r="C53" i="67" s="1"/>
  <c r="K42" i="67"/>
  <c r="K53" i="67" s="1"/>
  <c r="K78" i="67"/>
  <c r="I41" i="67"/>
  <c r="I52" i="67" s="1"/>
  <c r="M41" i="67"/>
  <c r="M52" i="67" s="1"/>
  <c r="B42" i="67"/>
  <c r="B53" i="67" s="1"/>
  <c r="J41" i="67"/>
  <c r="J52" i="67" s="1"/>
  <c r="N41" i="67"/>
  <c r="N52" i="67" s="1"/>
  <c r="D41" i="67"/>
  <c r="H41" i="67"/>
  <c r="H52" i="67" s="1"/>
  <c r="L41" i="67"/>
  <c r="L52" i="67" s="1"/>
  <c r="E98" i="67"/>
  <c r="E54" i="67" s="1"/>
  <c r="E97" i="67"/>
  <c r="K41" i="67"/>
  <c r="K52" i="67" s="1"/>
  <c r="O41" i="67"/>
  <c r="O52" i="67" s="1"/>
  <c r="F97" i="67"/>
  <c r="F98" i="67"/>
  <c r="F54" i="67" s="1"/>
  <c r="B104" i="67"/>
  <c r="C104" i="67"/>
  <c r="K104" i="67"/>
  <c r="O104" i="67"/>
  <c r="E104" i="67"/>
  <c r="M104" i="67"/>
  <c r="F104" i="67"/>
  <c r="J104" i="67"/>
  <c r="N104" i="67"/>
  <c r="D104" i="67"/>
  <c r="L104" i="67"/>
  <c r="C97" i="67"/>
  <c r="C98" i="67"/>
  <c r="C54" i="67" s="1"/>
  <c r="B98" i="67"/>
  <c r="B54" i="67" s="1"/>
  <c r="B97" i="67"/>
  <c r="P99" i="67"/>
  <c r="P100" i="67"/>
  <c r="P33" i="67"/>
  <c r="C92" i="67"/>
  <c r="C29" i="67" s="1"/>
  <c r="E93" i="67"/>
  <c r="I93" i="67"/>
  <c r="M93" i="67"/>
  <c r="L92" i="67"/>
  <c r="L27" i="67" s="1"/>
  <c r="F93" i="67"/>
  <c r="C93" i="67"/>
  <c r="G93" i="67"/>
  <c r="K93" i="67"/>
  <c r="O93" i="67"/>
  <c r="E91" i="67"/>
  <c r="E89" i="67"/>
  <c r="E90" i="67"/>
  <c r="E88" i="67"/>
  <c r="I91" i="67"/>
  <c r="I89" i="67"/>
  <c r="I90" i="67"/>
  <c r="I88" i="67"/>
  <c r="M91" i="67"/>
  <c r="M89" i="67"/>
  <c r="M90" i="67"/>
  <c r="M88" i="67"/>
  <c r="G92" i="67"/>
  <c r="G29" i="67" s="1"/>
  <c r="K92" i="67"/>
  <c r="K27" i="67" s="1"/>
  <c r="O92" i="67"/>
  <c r="O29" i="67" s="1"/>
  <c r="H92" i="67"/>
  <c r="H148" i="67" s="1"/>
  <c r="H149" i="67" s="1"/>
  <c r="H104" i="67" s="1"/>
  <c r="B93" i="67"/>
  <c r="J93" i="67"/>
  <c r="G104" i="67"/>
  <c r="H93" i="67"/>
  <c r="L93" i="67"/>
  <c r="P96" i="67"/>
  <c r="B90" i="67"/>
  <c r="B88" i="67"/>
  <c r="B91" i="67"/>
  <c r="B89" i="67"/>
  <c r="F90" i="67"/>
  <c r="F88" i="67"/>
  <c r="F91" i="67"/>
  <c r="F89" i="67"/>
  <c r="J90" i="67"/>
  <c r="J88" i="67"/>
  <c r="J91" i="67"/>
  <c r="J89" i="67"/>
  <c r="N91" i="67"/>
  <c r="N90" i="67"/>
  <c r="N88" i="67"/>
  <c r="N89" i="67"/>
  <c r="C90" i="67"/>
  <c r="C88" i="67"/>
  <c r="C91" i="67"/>
  <c r="C89" i="67"/>
  <c r="G91" i="67"/>
  <c r="G90" i="67"/>
  <c r="G88" i="67"/>
  <c r="G89" i="67"/>
  <c r="K91" i="67"/>
  <c r="K90" i="67"/>
  <c r="K88" i="67"/>
  <c r="K89" i="67"/>
  <c r="D89" i="67"/>
  <c r="D88" i="67"/>
  <c r="H91" i="67"/>
  <c r="H89" i="67"/>
  <c r="H90" i="67"/>
  <c r="H88" i="67"/>
  <c r="L91" i="67"/>
  <c r="L89" i="67"/>
  <c r="L90" i="67"/>
  <c r="L88" i="67"/>
  <c r="P77" i="67" l="1"/>
  <c r="G65" i="67"/>
  <c r="G62" i="67"/>
  <c r="G48" i="67"/>
  <c r="G63" i="67"/>
  <c r="G49" i="67"/>
  <c r="G64" i="67"/>
  <c r="G50" i="67"/>
  <c r="F65" i="67"/>
  <c r="F48" i="67"/>
  <c r="F63" i="67"/>
  <c r="F49" i="67"/>
  <c r="F64" i="67"/>
  <c r="F50" i="67"/>
  <c r="F62" i="67"/>
  <c r="D65" i="67"/>
  <c r="D50" i="67"/>
  <c r="D62" i="67"/>
  <c r="D48" i="67"/>
  <c r="D63" i="67"/>
  <c r="D49" i="67"/>
  <c r="D64" i="67"/>
  <c r="C65" i="67"/>
  <c r="C62" i="67"/>
  <c r="C48" i="67"/>
  <c r="C63" i="67"/>
  <c r="C49" i="67"/>
  <c r="C64" i="67"/>
  <c r="C50" i="67"/>
  <c r="N65" i="67"/>
  <c r="N48" i="67"/>
  <c r="N63" i="67"/>
  <c r="N49" i="67"/>
  <c r="N64" i="67"/>
  <c r="N50" i="67"/>
  <c r="N62" i="67"/>
  <c r="E65" i="67"/>
  <c r="E49" i="67"/>
  <c r="E64" i="67"/>
  <c r="E50" i="67"/>
  <c r="E62" i="67"/>
  <c r="E63" i="67"/>
  <c r="E48" i="67"/>
  <c r="B50" i="67"/>
  <c r="B62" i="67"/>
  <c r="B48" i="67"/>
  <c r="B64" i="67"/>
  <c r="L65" i="67"/>
  <c r="L50" i="67"/>
  <c r="L62" i="67"/>
  <c r="L48" i="67"/>
  <c r="L63" i="67"/>
  <c r="L49" i="67"/>
  <c r="L64" i="67"/>
  <c r="K65" i="67"/>
  <c r="K62" i="67"/>
  <c r="K48" i="67"/>
  <c r="K63" i="67"/>
  <c r="K49" i="67"/>
  <c r="K64" i="67"/>
  <c r="K50" i="67"/>
  <c r="M65" i="67"/>
  <c r="M49" i="67"/>
  <c r="M64" i="67"/>
  <c r="M50" i="67"/>
  <c r="M62" i="67"/>
  <c r="M48" i="67"/>
  <c r="M63" i="67"/>
  <c r="H65" i="67"/>
  <c r="H50" i="67"/>
  <c r="H62" i="67"/>
  <c r="H48" i="67"/>
  <c r="H63" i="67"/>
  <c r="H64" i="67"/>
  <c r="H49" i="67"/>
  <c r="J65" i="67"/>
  <c r="J48" i="67"/>
  <c r="J63" i="67"/>
  <c r="J49" i="67"/>
  <c r="J64" i="67"/>
  <c r="J50" i="67"/>
  <c r="J62" i="67"/>
  <c r="O65" i="67"/>
  <c r="O62" i="67"/>
  <c r="O48" i="67"/>
  <c r="O63" i="67"/>
  <c r="O49" i="67"/>
  <c r="O64" i="67"/>
  <c r="O50" i="67"/>
  <c r="D52" i="67"/>
  <c r="O27" i="67"/>
  <c r="G148" i="67"/>
  <c r="G105" i="67" s="1"/>
  <c r="H27" i="67"/>
  <c r="H105" i="67"/>
  <c r="B65" i="67"/>
  <c r="C27" i="67"/>
  <c r="C105" i="67"/>
  <c r="M105" i="67"/>
  <c r="H74" i="67"/>
  <c r="H75" i="67"/>
  <c r="J75" i="67"/>
  <c r="J74" i="67"/>
  <c r="L74" i="67"/>
  <c r="L75" i="67"/>
  <c r="N75" i="67"/>
  <c r="N74" i="67"/>
  <c r="I74" i="67"/>
  <c r="I75" i="67"/>
  <c r="F75" i="67"/>
  <c r="F74" i="67"/>
  <c r="B74" i="67"/>
  <c r="B75" i="67"/>
  <c r="C75" i="67"/>
  <c r="C74" i="67"/>
  <c r="E74" i="67"/>
  <c r="E75" i="67"/>
  <c r="O75" i="67"/>
  <c r="O74" i="67"/>
  <c r="K75" i="67"/>
  <c r="K74" i="67"/>
  <c r="G75" i="67"/>
  <c r="G74" i="67"/>
  <c r="M74" i="67"/>
  <c r="M75" i="67"/>
  <c r="F41" i="67"/>
  <c r="F52" i="67" s="1"/>
  <c r="G41" i="67"/>
  <c r="G52" i="67" s="1"/>
  <c r="E41" i="67"/>
  <c r="E52" i="67" s="1"/>
  <c r="B41" i="67"/>
  <c r="B52" i="67" s="1"/>
  <c r="C41" i="67"/>
  <c r="C52" i="67" s="1"/>
  <c r="M79" i="68"/>
  <c r="P79" i="68" s="1"/>
  <c r="M78" i="68"/>
  <c r="B63" i="67"/>
  <c r="P84" i="71"/>
  <c r="P80" i="72"/>
  <c r="B49" i="67"/>
  <c r="L31" i="67"/>
  <c r="O31" i="67"/>
  <c r="P84" i="70"/>
  <c r="C31" i="67"/>
  <c r="K31" i="67"/>
  <c r="H31" i="67"/>
  <c r="G31" i="67"/>
  <c r="N82" i="67"/>
  <c r="L29" i="67"/>
  <c r="L103" i="67" s="1"/>
  <c r="K29" i="67"/>
  <c r="H29" i="67"/>
  <c r="P91" i="67"/>
  <c r="B92" i="67"/>
  <c r="I92" i="67"/>
  <c r="I148" i="67" s="1"/>
  <c r="I149" i="67" s="1"/>
  <c r="I104" i="67" s="1"/>
  <c r="P97" i="67"/>
  <c r="P90" i="67"/>
  <c r="E92" i="67"/>
  <c r="E27" i="67" s="1"/>
  <c r="P98" i="67"/>
  <c r="P55" i="67"/>
  <c r="J92" i="67"/>
  <c r="J27" i="67" s="1"/>
  <c r="P54" i="67"/>
  <c r="P88" i="67"/>
  <c r="N92" i="67"/>
  <c r="N27" i="67" s="1"/>
  <c r="P89" i="67"/>
  <c r="F92" i="67"/>
  <c r="F27" i="67" s="1"/>
  <c r="M92" i="67"/>
  <c r="M27" i="67" s="1"/>
  <c r="B93" i="66"/>
  <c r="B92" i="66"/>
  <c r="B95" i="66"/>
  <c r="B94" i="66"/>
  <c r="J91" i="66"/>
  <c r="K103" i="67" l="1"/>
  <c r="I65" i="67"/>
  <c r="I49" i="67"/>
  <c r="I64" i="67"/>
  <c r="I50" i="67"/>
  <c r="I62" i="67"/>
  <c r="I48" i="67"/>
  <c r="P48" i="67" s="1"/>
  <c r="I63" i="67"/>
  <c r="C103" i="67"/>
  <c r="P65" i="67"/>
  <c r="B31" i="67"/>
  <c r="B27" i="67"/>
  <c r="I105" i="67"/>
  <c r="P105" i="67" s="1"/>
  <c r="I27" i="67"/>
  <c r="P41" i="67"/>
  <c r="P83" i="71"/>
  <c r="M29" i="71"/>
  <c r="M30" i="72"/>
  <c r="P79" i="72"/>
  <c r="B135" i="66"/>
  <c r="B122" i="67" s="1"/>
  <c r="B113" i="68" s="1"/>
  <c r="B156" i="70" s="1"/>
  <c r="B154" i="71" s="1"/>
  <c r="B109" i="74" s="1"/>
  <c r="L109" i="74" s="1"/>
  <c r="M28" i="68"/>
  <c r="P78" i="68"/>
  <c r="J31" i="67"/>
  <c r="E31" i="67"/>
  <c r="M31" i="67"/>
  <c r="F31" i="67"/>
  <c r="N31" i="67"/>
  <c r="I31" i="67"/>
  <c r="P83" i="70"/>
  <c r="M29" i="70"/>
  <c r="G109" i="67"/>
  <c r="N35" i="67"/>
  <c r="H109" i="67"/>
  <c r="F29" i="67"/>
  <c r="F103" i="67" s="1"/>
  <c r="J29" i="67"/>
  <c r="B29" i="67"/>
  <c r="M29" i="67"/>
  <c r="I29" i="67"/>
  <c r="E29" i="67"/>
  <c r="N29" i="67"/>
  <c r="K44" i="67"/>
  <c r="P52" i="67"/>
  <c r="L102" i="67"/>
  <c r="P94" i="67"/>
  <c r="L44" i="67"/>
  <c r="C102" i="67"/>
  <c r="C44" i="67"/>
  <c r="K102" i="67"/>
  <c r="P92" i="67"/>
  <c r="P95" i="66"/>
  <c r="P94" i="66"/>
  <c r="P93" i="66"/>
  <c r="P92" i="66"/>
  <c r="P91" i="66"/>
  <c r="I109" i="67" l="1"/>
  <c r="I103" i="67"/>
  <c r="P154" i="71"/>
  <c r="P30" i="72"/>
  <c r="P29" i="71"/>
  <c r="P156" i="70"/>
  <c r="P29" i="70"/>
  <c r="P28" i="68"/>
  <c r="O109" i="67"/>
  <c r="I102" i="67"/>
  <c r="I44" i="67"/>
  <c r="P29" i="67"/>
  <c r="P27" i="67"/>
  <c r="F102" i="67"/>
  <c r="F44" i="67"/>
  <c r="B121" i="72" l="1"/>
  <c r="K109" i="67"/>
  <c r="L109" i="67"/>
  <c r="C109" i="67"/>
  <c r="D109" i="67"/>
  <c r="C17" i="66"/>
  <c r="C109" i="66" s="1"/>
  <c r="D109" i="66"/>
  <c r="E17" i="66"/>
  <c r="E109" i="66" s="1"/>
  <c r="F17" i="66"/>
  <c r="F109" i="66" s="1"/>
  <c r="G17" i="66"/>
  <c r="G109" i="66" s="1"/>
  <c r="H17" i="66"/>
  <c r="H109" i="66" s="1"/>
  <c r="I17" i="66"/>
  <c r="I109" i="66" s="1"/>
  <c r="J17" i="66"/>
  <c r="J109" i="66" s="1"/>
  <c r="K17" i="66"/>
  <c r="K109" i="66" s="1"/>
  <c r="L17" i="66"/>
  <c r="L109" i="66" s="1"/>
  <c r="M17" i="66"/>
  <c r="M109" i="66" s="1"/>
  <c r="N17" i="66"/>
  <c r="N109" i="66" s="1"/>
  <c r="O17" i="66"/>
  <c r="O109" i="66" s="1"/>
  <c r="B17" i="66"/>
  <c r="B109" i="66" s="1"/>
  <c r="C20" i="66"/>
  <c r="E20" i="66"/>
  <c r="F20" i="66"/>
  <c r="G20" i="66"/>
  <c r="H20" i="66"/>
  <c r="I20" i="66"/>
  <c r="J20" i="66"/>
  <c r="K20" i="66"/>
  <c r="L20" i="66"/>
  <c r="M20" i="66"/>
  <c r="N20" i="66"/>
  <c r="O20" i="66"/>
  <c r="B20" i="66"/>
  <c r="P121" i="72" l="1"/>
  <c r="B118" i="73"/>
  <c r="M118" i="73" s="1"/>
  <c r="E109" i="67"/>
  <c r="M109" i="67"/>
  <c r="F109" i="67"/>
  <c r="J109" i="67"/>
  <c r="B109" i="67"/>
  <c r="C19" i="66"/>
  <c r="E19" i="66"/>
  <c r="F19" i="66"/>
  <c r="G19" i="66"/>
  <c r="H19" i="66"/>
  <c r="I19" i="66"/>
  <c r="J19" i="66"/>
  <c r="K19" i="66"/>
  <c r="L19" i="66"/>
  <c r="M19" i="66"/>
  <c r="N19" i="66"/>
  <c r="O19" i="66"/>
  <c r="B19" i="66"/>
  <c r="O150" i="66"/>
  <c r="N150" i="66"/>
  <c r="M150" i="66"/>
  <c r="L150" i="66"/>
  <c r="K150" i="66"/>
  <c r="J150" i="66"/>
  <c r="I150" i="66"/>
  <c r="H150" i="66"/>
  <c r="G150" i="66"/>
  <c r="F150" i="66"/>
  <c r="E150" i="66"/>
  <c r="D150" i="66"/>
  <c r="C150" i="66"/>
  <c r="B150" i="66"/>
  <c r="N144" i="66"/>
  <c r="M144" i="66"/>
  <c r="L144" i="66"/>
  <c r="K144" i="66"/>
  <c r="J144" i="66"/>
  <c r="I144" i="66"/>
  <c r="H144" i="66"/>
  <c r="G146" i="66"/>
  <c r="G31" i="66" s="1"/>
  <c r="F144" i="66"/>
  <c r="E144" i="66"/>
  <c r="D144" i="66"/>
  <c r="C144" i="66"/>
  <c r="B144" i="66"/>
  <c r="P73" i="66"/>
  <c r="I114" i="66"/>
  <c r="H114" i="66"/>
  <c r="I113" i="66"/>
  <c r="H113" i="66"/>
  <c r="O24" i="66"/>
  <c r="N24" i="66"/>
  <c r="M24" i="66"/>
  <c r="L24" i="66"/>
  <c r="K24" i="66"/>
  <c r="J24" i="66"/>
  <c r="I24" i="66"/>
  <c r="H24" i="66"/>
  <c r="G24" i="66"/>
  <c r="F24" i="66"/>
  <c r="E24" i="66"/>
  <c r="D24" i="66"/>
  <c r="C24" i="66"/>
  <c r="B24" i="66"/>
  <c r="O22" i="66"/>
  <c r="N22" i="66"/>
  <c r="M22" i="66"/>
  <c r="L22" i="66"/>
  <c r="K22" i="66"/>
  <c r="J22" i="66"/>
  <c r="I22" i="66"/>
  <c r="H22" i="66"/>
  <c r="G22" i="66"/>
  <c r="F22" i="66"/>
  <c r="E22" i="66"/>
  <c r="D22" i="66"/>
  <c r="C22" i="66"/>
  <c r="B22" i="66"/>
  <c r="L21" i="66"/>
  <c r="K21" i="66"/>
  <c r="I21" i="66"/>
  <c r="F21" i="66"/>
  <c r="E21" i="66"/>
  <c r="C21" i="66"/>
  <c r="B21" i="66"/>
  <c r="O18" i="66"/>
  <c r="O16" i="66" s="1"/>
  <c r="O108" i="66" s="1"/>
  <c r="N18" i="66"/>
  <c r="M18" i="66"/>
  <c r="M16" i="66" s="1"/>
  <c r="M108" i="66" s="1"/>
  <c r="L18" i="66"/>
  <c r="L16" i="66" s="1"/>
  <c r="L108" i="66" s="1"/>
  <c r="K18" i="66"/>
  <c r="K16" i="66" s="1"/>
  <c r="K108" i="66" s="1"/>
  <c r="J18" i="66"/>
  <c r="J16" i="66" s="1"/>
  <c r="J108" i="66" s="1"/>
  <c r="I18" i="66"/>
  <c r="I16" i="66" s="1"/>
  <c r="I108" i="66" s="1"/>
  <c r="H18" i="66"/>
  <c r="H16" i="66" s="1"/>
  <c r="H108" i="66" s="1"/>
  <c r="G18" i="66"/>
  <c r="G16" i="66" s="1"/>
  <c r="G108" i="66" s="1"/>
  <c r="F18" i="66"/>
  <c r="F16" i="66" s="1"/>
  <c r="F108" i="66" s="1"/>
  <c r="E18" i="66"/>
  <c r="E16" i="66" s="1"/>
  <c r="E108" i="66" s="1"/>
  <c r="D18" i="66"/>
  <c r="D108" i="66" s="1"/>
  <c r="C18" i="66"/>
  <c r="C16" i="66" s="1"/>
  <c r="C108" i="66" s="1"/>
  <c r="B18" i="66"/>
  <c r="B16" i="66" s="1"/>
  <c r="B108" i="66" s="1"/>
  <c r="O15" i="66"/>
  <c r="N15" i="66"/>
  <c r="M15" i="66"/>
  <c r="L15" i="66"/>
  <c r="K15" i="66"/>
  <c r="J15" i="66"/>
  <c r="I15" i="66"/>
  <c r="H15" i="66"/>
  <c r="G15" i="66"/>
  <c r="F15" i="66"/>
  <c r="E15" i="66"/>
  <c r="D15" i="66"/>
  <c r="C15" i="66"/>
  <c r="B15" i="66"/>
  <c r="O14" i="66"/>
  <c r="N14" i="66"/>
  <c r="M14" i="66"/>
  <c r="L14" i="66"/>
  <c r="K14" i="66"/>
  <c r="J14" i="66"/>
  <c r="I14" i="66"/>
  <c r="H14" i="66"/>
  <c r="G14" i="66"/>
  <c r="F14" i="66"/>
  <c r="E14" i="66"/>
  <c r="D14" i="66"/>
  <c r="C14" i="66"/>
  <c r="B14" i="66"/>
  <c r="N13" i="66"/>
  <c r="M13" i="66"/>
  <c r="L13" i="66"/>
  <c r="K13" i="66"/>
  <c r="J13" i="66"/>
  <c r="I13" i="66"/>
  <c r="H13" i="66"/>
  <c r="G13" i="66"/>
  <c r="G141" i="66" s="1"/>
  <c r="F13" i="66"/>
  <c r="C13" i="66"/>
  <c r="B13" i="66"/>
  <c r="O8" i="66"/>
  <c r="N8" i="66"/>
  <c r="M8" i="66"/>
  <c r="L8" i="66"/>
  <c r="K8" i="66"/>
  <c r="J8" i="66"/>
  <c r="I8" i="66"/>
  <c r="H8" i="66"/>
  <c r="G8" i="66"/>
  <c r="F8" i="66"/>
  <c r="E8" i="66"/>
  <c r="D8" i="66"/>
  <c r="C8" i="66"/>
  <c r="B8" i="66"/>
  <c r="H111" i="66" l="1"/>
  <c r="H112" i="66"/>
  <c r="H56" i="66" s="1"/>
  <c r="B165" i="66"/>
  <c r="B164" i="66"/>
  <c r="N164" i="66"/>
  <c r="N165" i="66"/>
  <c r="C164" i="66"/>
  <c r="C165" i="66"/>
  <c r="O164" i="66"/>
  <c r="O165" i="66"/>
  <c r="D165" i="66"/>
  <c r="D164" i="66"/>
  <c r="L165" i="66"/>
  <c r="L164" i="66"/>
  <c r="F164" i="66"/>
  <c r="F165" i="66"/>
  <c r="J164" i="66"/>
  <c r="J165" i="66"/>
  <c r="K164" i="66"/>
  <c r="K165" i="66"/>
  <c r="E165" i="66"/>
  <c r="E164" i="66"/>
  <c r="M165" i="66"/>
  <c r="M164" i="66"/>
  <c r="O104" i="66"/>
  <c r="O100" i="66"/>
  <c r="O105" i="66"/>
  <c r="O101" i="66"/>
  <c r="O102" i="66"/>
  <c r="O98" i="66"/>
  <c r="O103" i="66"/>
  <c r="O99" i="66"/>
  <c r="L162" i="66"/>
  <c r="L163" i="66"/>
  <c r="E163" i="66"/>
  <c r="M163" i="66"/>
  <c r="D162" i="66"/>
  <c r="D163" i="66"/>
  <c r="B162" i="66"/>
  <c r="B163" i="66"/>
  <c r="F162" i="66"/>
  <c r="F163" i="66"/>
  <c r="J162" i="66"/>
  <c r="J163" i="66"/>
  <c r="N162" i="66"/>
  <c r="N163" i="66"/>
  <c r="C163" i="66"/>
  <c r="G28" i="66"/>
  <c r="K163" i="66"/>
  <c r="O162" i="66"/>
  <c r="O163" i="66"/>
  <c r="E162" i="66"/>
  <c r="M162" i="66"/>
  <c r="C162" i="66"/>
  <c r="K162" i="66"/>
  <c r="H79" i="66"/>
  <c r="E43" i="66"/>
  <c r="E55" i="66" s="1"/>
  <c r="I43" i="66"/>
  <c r="I55" i="66" s="1"/>
  <c r="B80" i="66"/>
  <c r="F43" i="66"/>
  <c r="F55" i="66" s="1"/>
  <c r="C43" i="66"/>
  <c r="C55" i="66" s="1"/>
  <c r="K43" i="66"/>
  <c r="K55" i="66" s="1"/>
  <c r="K80" i="66"/>
  <c r="L43" i="66"/>
  <c r="L55" i="66" s="1"/>
  <c r="C79" i="66"/>
  <c r="E111" i="66"/>
  <c r="E112" i="66"/>
  <c r="E56" i="66" s="1"/>
  <c r="K42" i="66"/>
  <c r="K54" i="66" s="1"/>
  <c r="O42" i="66"/>
  <c r="O54" i="66" s="1"/>
  <c r="J42" i="66"/>
  <c r="J54" i="66" s="1"/>
  <c r="D42" i="66"/>
  <c r="D54" i="66" s="1"/>
  <c r="H42" i="66"/>
  <c r="H54" i="66" s="1"/>
  <c r="L42" i="66"/>
  <c r="L54" i="66" s="1"/>
  <c r="G42" i="66"/>
  <c r="G54" i="66" s="1"/>
  <c r="B43" i="66"/>
  <c r="B55" i="66" s="1"/>
  <c r="N42" i="66"/>
  <c r="N54" i="66" s="1"/>
  <c r="I42" i="66"/>
  <c r="I54" i="66" s="1"/>
  <c r="M42" i="66"/>
  <c r="M54" i="66" s="1"/>
  <c r="F112" i="66"/>
  <c r="F56" i="66" s="1"/>
  <c r="F111" i="66"/>
  <c r="B118" i="66"/>
  <c r="F118" i="66"/>
  <c r="J118" i="66"/>
  <c r="C118" i="66"/>
  <c r="K118" i="66"/>
  <c r="O118" i="66"/>
  <c r="D67" i="66"/>
  <c r="L118" i="66"/>
  <c r="E118" i="66"/>
  <c r="M118" i="66"/>
  <c r="N16" i="66"/>
  <c r="P95" i="67"/>
  <c r="N93" i="67"/>
  <c r="B111" i="66"/>
  <c r="B112" i="66"/>
  <c r="B56" i="66" s="1"/>
  <c r="C112" i="66"/>
  <c r="C56" i="66" s="1"/>
  <c r="C111" i="66"/>
  <c r="B110" i="66"/>
  <c r="B107" i="66"/>
  <c r="F110" i="66"/>
  <c r="F107" i="66"/>
  <c r="J110" i="66"/>
  <c r="J107" i="66"/>
  <c r="N110" i="66"/>
  <c r="N107" i="66"/>
  <c r="E105" i="66"/>
  <c r="E100" i="66"/>
  <c r="E104" i="66"/>
  <c r="E99" i="66"/>
  <c r="E103" i="66"/>
  <c r="E101" i="66"/>
  <c r="I105" i="66"/>
  <c r="I100" i="66"/>
  <c r="I104" i="66"/>
  <c r="I99" i="66"/>
  <c r="I103" i="66"/>
  <c r="I101" i="66"/>
  <c r="M105" i="66"/>
  <c r="M100" i="66"/>
  <c r="M104" i="66"/>
  <c r="M99" i="66"/>
  <c r="M103" i="66"/>
  <c r="M101" i="66"/>
  <c r="C110" i="66"/>
  <c r="C107" i="66"/>
  <c r="G110" i="66"/>
  <c r="G107" i="66"/>
  <c r="G163" i="66" s="1"/>
  <c r="G165" i="66" s="1"/>
  <c r="G118" i="66" s="1"/>
  <c r="K110" i="66"/>
  <c r="K107" i="66"/>
  <c r="O110" i="66"/>
  <c r="O107" i="66"/>
  <c r="B103" i="66"/>
  <c r="B101" i="66"/>
  <c r="B105" i="66"/>
  <c r="B100" i="66"/>
  <c r="B104" i="66"/>
  <c r="B99" i="66"/>
  <c r="B76" i="66" s="1"/>
  <c r="F101" i="66"/>
  <c r="F105" i="66"/>
  <c r="F100" i="66"/>
  <c r="F104" i="66"/>
  <c r="F99" i="66"/>
  <c r="F103" i="66"/>
  <c r="J101" i="66"/>
  <c r="J105" i="66"/>
  <c r="J100" i="66"/>
  <c r="J104" i="66"/>
  <c r="J99" i="66"/>
  <c r="J103" i="66"/>
  <c r="N101" i="66"/>
  <c r="N105" i="66"/>
  <c r="N100" i="66"/>
  <c r="N104" i="66"/>
  <c r="N99" i="66"/>
  <c r="N103" i="66"/>
  <c r="D110" i="66"/>
  <c r="D107" i="66"/>
  <c r="H110" i="66"/>
  <c r="H107" i="66"/>
  <c r="H163" i="66" s="1"/>
  <c r="H165" i="66" s="1"/>
  <c r="H118" i="66" s="1"/>
  <c r="L110" i="66"/>
  <c r="L107" i="66"/>
  <c r="C103" i="66"/>
  <c r="C101" i="66"/>
  <c r="C105" i="66"/>
  <c r="C100" i="66"/>
  <c r="C104" i="66"/>
  <c r="C99" i="66"/>
  <c r="G103" i="66"/>
  <c r="G101" i="66"/>
  <c r="G105" i="66"/>
  <c r="G100" i="66"/>
  <c r="G104" i="66"/>
  <c r="G99" i="66"/>
  <c r="K103" i="66"/>
  <c r="K101" i="66"/>
  <c r="K105" i="66"/>
  <c r="K100" i="66"/>
  <c r="K104" i="66"/>
  <c r="K99" i="66"/>
  <c r="E110" i="66"/>
  <c r="E107" i="66"/>
  <c r="I110" i="66"/>
  <c r="I107" i="66"/>
  <c r="I163" i="66" s="1"/>
  <c r="I165" i="66" s="1"/>
  <c r="I118" i="66" s="1"/>
  <c r="M110" i="66"/>
  <c r="M107" i="66"/>
  <c r="D104" i="66"/>
  <c r="D99" i="66"/>
  <c r="D103" i="66"/>
  <c r="D101" i="66"/>
  <c r="D105" i="66"/>
  <c r="D100" i="66"/>
  <c r="H104" i="66"/>
  <c r="H99" i="66"/>
  <c r="H103" i="66"/>
  <c r="H101" i="66"/>
  <c r="H105" i="66"/>
  <c r="H100" i="66"/>
  <c r="L104" i="66"/>
  <c r="L99" i="66"/>
  <c r="L103" i="66"/>
  <c r="L101" i="66"/>
  <c r="L105" i="66"/>
  <c r="L100" i="66"/>
  <c r="P31" i="66"/>
  <c r="K98" i="66"/>
  <c r="P113" i="66"/>
  <c r="H106" i="66"/>
  <c r="H162" i="66" s="1"/>
  <c r="H164" i="66" s="1"/>
  <c r="H102" i="66"/>
  <c r="D106" i="66"/>
  <c r="L102" i="66"/>
  <c r="L98" i="66"/>
  <c r="E106" i="66"/>
  <c r="I106" i="66"/>
  <c r="I162" i="66" s="1"/>
  <c r="I164" i="66" s="1"/>
  <c r="M106" i="66"/>
  <c r="E102" i="66"/>
  <c r="E98" i="66"/>
  <c r="I102" i="66"/>
  <c r="I98" i="66"/>
  <c r="M102" i="66"/>
  <c r="M98" i="66"/>
  <c r="D102" i="66"/>
  <c r="D98" i="66"/>
  <c r="B106" i="66"/>
  <c r="F106" i="66"/>
  <c r="J106" i="66"/>
  <c r="B102" i="66"/>
  <c r="B98" i="66"/>
  <c r="F102" i="66"/>
  <c r="F98" i="66"/>
  <c r="J102" i="66"/>
  <c r="J98" i="66"/>
  <c r="N102" i="66"/>
  <c r="N98" i="66"/>
  <c r="C98" i="66"/>
  <c r="L106" i="66"/>
  <c r="H98" i="66"/>
  <c r="C106" i="66"/>
  <c r="G106" i="66"/>
  <c r="G162" i="66" s="1"/>
  <c r="G164" i="66" s="1"/>
  <c r="K106" i="66"/>
  <c r="O106" i="66"/>
  <c r="C102" i="66"/>
  <c r="G102" i="66"/>
  <c r="K102" i="66"/>
  <c r="P114" i="66"/>
  <c r="G98" i="66"/>
  <c r="F42" i="66" l="1"/>
  <c r="F54" i="66" s="1"/>
  <c r="J67" i="66"/>
  <c r="J64" i="66"/>
  <c r="J65" i="66"/>
  <c r="J50" i="66"/>
  <c r="J51" i="66"/>
  <c r="J49" i="66"/>
  <c r="J66" i="66"/>
  <c r="L67" i="66"/>
  <c r="L66" i="66"/>
  <c r="L50" i="66"/>
  <c r="L51" i="66"/>
  <c r="L65" i="66"/>
  <c r="L64" i="66"/>
  <c r="L49" i="66"/>
  <c r="I67" i="66"/>
  <c r="I65" i="66"/>
  <c r="I49" i="66"/>
  <c r="I50" i="66"/>
  <c r="I51" i="66"/>
  <c r="I66" i="66"/>
  <c r="I64" i="66"/>
  <c r="H67" i="66"/>
  <c r="H66" i="66"/>
  <c r="H50" i="66"/>
  <c r="H51" i="66"/>
  <c r="H65" i="66"/>
  <c r="H64" i="66"/>
  <c r="H49" i="66"/>
  <c r="G67" i="66"/>
  <c r="G51" i="66"/>
  <c r="G64" i="66"/>
  <c r="G65" i="66"/>
  <c r="G50" i="66"/>
  <c r="G49" i="66"/>
  <c r="G66" i="66"/>
  <c r="B42" i="66"/>
  <c r="B54" i="66"/>
  <c r="M67" i="66"/>
  <c r="M65" i="66"/>
  <c r="M49" i="66"/>
  <c r="M66" i="66"/>
  <c r="M50" i="66"/>
  <c r="M64" i="66"/>
  <c r="M51" i="66"/>
  <c r="O67" i="66"/>
  <c r="O51" i="66"/>
  <c r="O64" i="66"/>
  <c r="O65" i="66"/>
  <c r="O49" i="66"/>
  <c r="O66" i="66"/>
  <c r="O50" i="66"/>
  <c r="F67" i="66"/>
  <c r="F64" i="66"/>
  <c r="F65" i="66"/>
  <c r="F49" i="66"/>
  <c r="F66" i="66"/>
  <c r="F50" i="66"/>
  <c r="F51" i="66"/>
  <c r="E42" i="66"/>
  <c r="E54" i="66"/>
  <c r="C67" i="66"/>
  <c r="C51" i="66"/>
  <c r="C64" i="66"/>
  <c r="C65" i="66"/>
  <c r="C49" i="66"/>
  <c r="C66" i="66"/>
  <c r="C50" i="66"/>
  <c r="C42" i="66"/>
  <c r="C54" i="66" s="1"/>
  <c r="E67" i="66"/>
  <c r="E65" i="66"/>
  <c r="E49" i="66"/>
  <c r="E66" i="66"/>
  <c r="E64" i="66"/>
  <c r="E50" i="66"/>
  <c r="E51" i="66"/>
  <c r="K67" i="66"/>
  <c r="K51" i="66"/>
  <c r="K64" i="66"/>
  <c r="K65" i="66"/>
  <c r="K49" i="66"/>
  <c r="K66" i="66"/>
  <c r="K50" i="66"/>
  <c r="B67" i="66"/>
  <c r="B66" i="66"/>
  <c r="B64" i="66"/>
  <c r="B51" i="66"/>
  <c r="B49" i="66"/>
  <c r="C119" i="66"/>
  <c r="O28" i="66"/>
  <c r="O77" i="66"/>
  <c r="O76" i="66"/>
  <c r="H119" i="66"/>
  <c r="F28" i="66"/>
  <c r="K28" i="66"/>
  <c r="L119" i="66"/>
  <c r="F119" i="66"/>
  <c r="D119" i="66"/>
  <c r="N118" i="66"/>
  <c r="N108" i="66"/>
  <c r="C28" i="66"/>
  <c r="M28" i="66"/>
  <c r="D28" i="66"/>
  <c r="J28" i="66"/>
  <c r="G119" i="66"/>
  <c r="I119" i="66"/>
  <c r="K119" i="66"/>
  <c r="E28" i="66"/>
  <c r="B28" i="66"/>
  <c r="L28" i="66"/>
  <c r="I28" i="66"/>
  <c r="O119" i="66"/>
  <c r="J119" i="66"/>
  <c r="B119" i="66"/>
  <c r="N119" i="66"/>
  <c r="H28" i="66"/>
  <c r="M119" i="66"/>
  <c r="E119" i="66"/>
  <c r="P74" i="67"/>
  <c r="P72" i="68"/>
  <c r="N106" i="66"/>
  <c r="N28" i="66" s="1"/>
  <c r="J77" i="66"/>
  <c r="J76" i="66"/>
  <c r="K76" i="66"/>
  <c r="K77" i="66"/>
  <c r="I76" i="66"/>
  <c r="I77" i="66"/>
  <c r="L77" i="66"/>
  <c r="L76" i="66"/>
  <c r="D77" i="66"/>
  <c r="D76" i="66"/>
  <c r="C76" i="66"/>
  <c r="C77" i="66"/>
  <c r="N77" i="66"/>
  <c r="N76" i="66"/>
  <c r="F77" i="66"/>
  <c r="F76" i="66"/>
  <c r="H77" i="66"/>
  <c r="H76" i="66"/>
  <c r="G76" i="66"/>
  <c r="G77" i="66"/>
  <c r="B77" i="66"/>
  <c r="M76" i="66"/>
  <c r="M77" i="66"/>
  <c r="E82" i="67"/>
  <c r="E35" i="67" s="1"/>
  <c r="E76" i="66"/>
  <c r="E77" i="66"/>
  <c r="B65" i="66"/>
  <c r="B50" i="66"/>
  <c r="E81" i="67"/>
  <c r="E103" i="67" s="1"/>
  <c r="E84" i="67"/>
  <c r="N30" i="67"/>
  <c r="P30" i="67" s="1"/>
  <c r="P93" i="67"/>
  <c r="N28" i="67"/>
  <c r="N32" i="67"/>
  <c r="P32" i="67" s="1"/>
  <c r="P31" i="67"/>
  <c r="B82" i="67"/>
  <c r="B81" i="67"/>
  <c r="B103" i="67" s="1"/>
  <c r="M83" i="67"/>
  <c r="M82" i="67"/>
  <c r="M35" i="67" s="1"/>
  <c r="N85" i="67"/>
  <c r="N81" i="67"/>
  <c r="M81" i="67"/>
  <c r="M84" i="67"/>
  <c r="M37" i="67" s="1"/>
  <c r="F30" i="66"/>
  <c r="K29" i="66"/>
  <c r="C29" i="66"/>
  <c r="M30" i="66"/>
  <c r="E29" i="66"/>
  <c r="B29" i="66"/>
  <c r="D29" i="66"/>
  <c r="O30" i="66"/>
  <c r="L30" i="66"/>
  <c r="H30" i="66"/>
  <c r="D30" i="66"/>
  <c r="G30" i="66"/>
  <c r="P110" i="66"/>
  <c r="E30" i="66"/>
  <c r="P105" i="66"/>
  <c r="F29" i="66"/>
  <c r="M29" i="66"/>
  <c r="C30" i="66"/>
  <c r="J29" i="66"/>
  <c r="B30" i="66"/>
  <c r="O29" i="66"/>
  <c r="I30" i="66"/>
  <c r="P101" i="66"/>
  <c r="I29" i="66"/>
  <c r="L29" i="66"/>
  <c r="P99" i="66"/>
  <c r="H29" i="66"/>
  <c r="K30" i="66"/>
  <c r="J30" i="66"/>
  <c r="P103" i="66"/>
  <c r="G29" i="66"/>
  <c r="P109" i="66"/>
  <c r="P107" i="66"/>
  <c r="P102" i="66"/>
  <c r="P112" i="66"/>
  <c r="P57" i="66"/>
  <c r="P56" i="66"/>
  <c r="P98" i="66"/>
  <c r="P104" i="66"/>
  <c r="P111" i="66"/>
  <c r="P100" i="66"/>
  <c r="P42" i="66"/>
  <c r="N67" i="66" l="1"/>
  <c r="P67" i="66" s="1"/>
  <c r="N64" i="66"/>
  <c r="N65" i="66"/>
  <c r="N49" i="66"/>
  <c r="N66" i="66"/>
  <c r="N50" i="66"/>
  <c r="N51" i="66"/>
  <c r="N103" i="67"/>
  <c r="L117" i="66"/>
  <c r="L121" i="66" s="1"/>
  <c r="F117" i="66"/>
  <c r="F121" i="66" s="1"/>
  <c r="C117" i="66"/>
  <c r="C121" i="66" s="1"/>
  <c r="K117" i="66"/>
  <c r="K121" i="66" s="1"/>
  <c r="N30" i="66"/>
  <c r="P30" i="66" s="1"/>
  <c r="N29" i="66"/>
  <c r="P29" i="66" s="1"/>
  <c r="P106" i="66"/>
  <c r="P119" i="66"/>
  <c r="P108" i="66"/>
  <c r="P82" i="67"/>
  <c r="P81" i="67"/>
  <c r="N38" i="67"/>
  <c r="P38" i="67" s="1"/>
  <c r="P85" i="67"/>
  <c r="M36" i="67"/>
  <c r="P36" i="67" s="1"/>
  <c r="P83" i="67"/>
  <c r="E37" i="67"/>
  <c r="P84" i="67"/>
  <c r="B35" i="67"/>
  <c r="P28" i="67"/>
  <c r="P54" i="66"/>
  <c r="F116" i="66"/>
  <c r="F45" i="66"/>
  <c r="P28" i="66"/>
  <c r="K116" i="66"/>
  <c r="K45" i="66"/>
  <c r="L116" i="66"/>
  <c r="L45" i="66"/>
  <c r="H122" i="66"/>
  <c r="G122" i="66"/>
  <c r="O112" i="64"/>
  <c r="N112" i="64"/>
  <c r="M112" i="64"/>
  <c r="L112" i="64"/>
  <c r="K112" i="64"/>
  <c r="J112" i="64"/>
  <c r="I112" i="64"/>
  <c r="H112" i="64"/>
  <c r="G112" i="64"/>
  <c r="F112" i="64"/>
  <c r="E112" i="64"/>
  <c r="D112" i="64"/>
  <c r="C112" i="64"/>
  <c r="B112" i="64"/>
  <c r="O111" i="64"/>
  <c r="N111" i="64"/>
  <c r="M111" i="64"/>
  <c r="L111" i="64"/>
  <c r="K111" i="64"/>
  <c r="J111" i="64"/>
  <c r="I111" i="64"/>
  <c r="H111" i="64"/>
  <c r="G111" i="64"/>
  <c r="F111" i="64"/>
  <c r="E111" i="64"/>
  <c r="D111" i="64"/>
  <c r="C111" i="64"/>
  <c r="B111" i="64"/>
  <c r="N109" i="64"/>
  <c r="M109" i="64"/>
  <c r="L109" i="64"/>
  <c r="K109" i="64"/>
  <c r="J109" i="64"/>
  <c r="I109" i="64"/>
  <c r="H109" i="64"/>
  <c r="F109" i="64"/>
  <c r="E109" i="64"/>
  <c r="D109" i="64"/>
  <c r="C109" i="64"/>
  <c r="B109" i="64"/>
  <c r="I79" i="64"/>
  <c r="H79" i="64"/>
  <c r="I78" i="64"/>
  <c r="H78" i="64"/>
  <c r="O20" i="64"/>
  <c r="N20" i="64"/>
  <c r="M20" i="64"/>
  <c r="L20" i="64"/>
  <c r="K20" i="64"/>
  <c r="J20" i="64"/>
  <c r="I20" i="64"/>
  <c r="H20" i="64"/>
  <c r="G20" i="64"/>
  <c r="F20" i="64"/>
  <c r="E20" i="64"/>
  <c r="D20" i="64"/>
  <c r="C20" i="64"/>
  <c r="B20" i="64"/>
  <c r="O18" i="64"/>
  <c r="O124" i="64" s="1"/>
  <c r="N18" i="64"/>
  <c r="M18" i="64"/>
  <c r="L18" i="64"/>
  <c r="K18" i="64"/>
  <c r="J18" i="64"/>
  <c r="I18" i="64"/>
  <c r="I30" i="64" s="1"/>
  <c r="I41" i="64" s="1"/>
  <c r="H18" i="64"/>
  <c r="G18" i="64"/>
  <c r="F18" i="64"/>
  <c r="F124" i="64" s="1"/>
  <c r="E18" i="64"/>
  <c r="E124" i="64" s="1"/>
  <c r="D18" i="64"/>
  <c r="C18" i="64"/>
  <c r="C124" i="64" s="1"/>
  <c r="B18" i="64"/>
  <c r="B124" i="64" s="1"/>
  <c r="L17" i="64"/>
  <c r="K17" i="64"/>
  <c r="I17" i="64"/>
  <c r="F17" i="64"/>
  <c r="E17" i="64"/>
  <c r="C17" i="64"/>
  <c r="B17" i="64"/>
  <c r="O16" i="64"/>
  <c r="N16" i="64"/>
  <c r="M16" i="64"/>
  <c r="L16" i="64"/>
  <c r="K16" i="64"/>
  <c r="J16" i="64"/>
  <c r="I16" i="64"/>
  <c r="H16" i="64"/>
  <c r="G16" i="64"/>
  <c r="F16" i="64"/>
  <c r="E16" i="64"/>
  <c r="D16" i="64"/>
  <c r="C16" i="64"/>
  <c r="B16" i="64"/>
  <c r="O15" i="64"/>
  <c r="O75" i="64" s="1"/>
  <c r="N15" i="64"/>
  <c r="M15" i="64"/>
  <c r="M75" i="64" s="1"/>
  <c r="L15" i="64"/>
  <c r="L75" i="64" s="1"/>
  <c r="K15" i="64"/>
  <c r="K75" i="64" s="1"/>
  <c r="J15" i="64"/>
  <c r="J75" i="64" s="1"/>
  <c r="I15" i="64"/>
  <c r="I75" i="64" s="1"/>
  <c r="H15" i="64"/>
  <c r="H75" i="64" s="1"/>
  <c r="G15" i="64"/>
  <c r="G75" i="64" s="1"/>
  <c r="F15" i="64"/>
  <c r="F75" i="64" s="1"/>
  <c r="E15" i="64"/>
  <c r="E75" i="64" s="1"/>
  <c r="D15" i="64"/>
  <c r="D75" i="64" s="1"/>
  <c r="C15" i="64"/>
  <c r="C75" i="64" s="1"/>
  <c r="B15" i="64"/>
  <c r="B75" i="64" s="1"/>
  <c r="O14" i="64"/>
  <c r="O74" i="64" s="1"/>
  <c r="N14" i="64"/>
  <c r="N74" i="64" s="1"/>
  <c r="M14" i="64"/>
  <c r="M74" i="64" s="1"/>
  <c r="L14" i="64"/>
  <c r="L74" i="64" s="1"/>
  <c r="K14" i="64"/>
  <c r="K74" i="64" s="1"/>
  <c r="J14" i="64"/>
  <c r="J74" i="64" s="1"/>
  <c r="I14" i="64"/>
  <c r="I74" i="64" s="1"/>
  <c r="H14" i="64"/>
  <c r="H74" i="64" s="1"/>
  <c r="G14" i="64"/>
  <c r="G74" i="64" s="1"/>
  <c r="F14" i="64"/>
  <c r="F74" i="64" s="1"/>
  <c r="E14" i="64"/>
  <c r="E74" i="64" s="1"/>
  <c r="D14" i="64"/>
  <c r="D74" i="64" s="1"/>
  <c r="C14" i="64"/>
  <c r="C74" i="64" s="1"/>
  <c r="B14" i="64"/>
  <c r="B74" i="64" s="1"/>
  <c r="O13" i="64"/>
  <c r="N13" i="64"/>
  <c r="M13" i="64"/>
  <c r="L13" i="64"/>
  <c r="K13" i="64"/>
  <c r="J13" i="64"/>
  <c r="I13" i="64"/>
  <c r="H13" i="64"/>
  <c r="G13" i="64"/>
  <c r="F13" i="64"/>
  <c r="E13" i="64"/>
  <c r="D13" i="64"/>
  <c r="C13" i="64"/>
  <c r="B13" i="64"/>
  <c r="O12" i="64"/>
  <c r="N12" i="64"/>
  <c r="M12" i="64"/>
  <c r="L12" i="64"/>
  <c r="K12" i="64"/>
  <c r="J12" i="64"/>
  <c r="I12" i="64"/>
  <c r="H12" i="64"/>
  <c r="G12" i="64"/>
  <c r="F12" i="64"/>
  <c r="E12" i="64"/>
  <c r="D12" i="64"/>
  <c r="C12" i="64"/>
  <c r="B12" i="64"/>
  <c r="N11" i="64"/>
  <c r="M11" i="64"/>
  <c r="L11" i="64"/>
  <c r="K11" i="64"/>
  <c r="J11" i="64"/>
  <c r="I11" i="64"/>
  <c r="H11" i="64"/>
  <c r="G11" i="64"/>
  <c r="G106" i="64" s="1"/>
  <c r="F11" i="64"/>
  <c r="E11" i="64"/>
  <c r="D11" i="64"/>
  <c r="C11" i="64"/>
  <c r="B11" i="64"/>
  <c r="O8" i="64"/>
  <c r="N8" i="64"/>
  <c r="M8" i="64"/>
  <c r="L8" i="64"/>
  <c r="K8" i="64"/>
  <c r="J8" i="64"/>
  <c r="I8" i="64"/>
  <c r="H8" i="64"/>
  <c r="G8" i="64"/>
  <c r="F8" i="64"/>
  <c r="E8" i="64"/>
  <c r="D8" i="64"/>
  <c r="C8" i="64"/>
  <c r="B8" i="64"/>
  <c r="D124" i="64" l="1"/>
  <c r="D30" i="64"/>
  <c r="D41" i="64" s="1"/>
  <c r="L124" i="64"/>
  <c r="L30" i="64"/>
  <c r="L41" i="64" s="1"/>
  <c r="M124" i="64"/>
  <c r="M30" i="64"/>
  <c r="M41" i="64" s="1"/>
  <c r="J124" i="64"/>
  <c r="J30" i="64"/>
  <c r="J41" i="64" s="1"/>
  <c r="N124" i="64"/>
  <c r="N30" i="64"/>
  <c r="N41" i="64" s="1"/>
  <c r="G30" i="64"/>
  <c r="G41" i="64" s="1"/>
  <c r="K124" i="64"/>
  <c r="K30" i="64"/>
  <c r="K41" i="64" s="1"/>
  <c r="H77" i="64"/>
  <c r="H43" i="64" s="1"/>
  <c r="H76" i="64"/>
  <c r="O70" i="64"/>
  <c r="O69" i="64"/>
  <c r="O72" i="64"/>
  <c r="O71" i="64"/>
  <c r="C65" i="64"/>
  <c r="B123" i="64"/>
  <c r="B84" i="64" s="1"/>
  <c r="F123" i="64"/>
  <c r="F84" i="64" s="1"/>
  <c r="J123" i="64"/>
  <c r="J84" i="64" s="1"/>
  <c r="N123" i="64"/>
  <c r="N84" i="64" s="1"/>
  <c r="C123" i="64"/>
  <c r="C84" i="64" s="1"/>
  <c r="G24" i="64"/>
  <c r="K123" i="64"/>
  <c r="K84" i="64" s="1"/>
  <c r="O123" i="64"/>
  <c r="O84" i="64" s="1"/>
  <c r="D123" i="64"/>
  <c r="L123" i="64"/>
  <c r="E123" i="64"/>
  <c r="E84" i="64" s="1"/>
  <c r="M123" i="64"/>
  <c r="M84" i="64" s="1"/>
  <c r="D118" i="72"/>
  <c r="D76" i="71"/>
  <c r="P76" i="71" s="1"/>
  <c r="P151" i="71"/>
  <c r="F31" i="64"/>
  <c r="F42" i="64" s="1"/>
  <c r="C31" i="64"/>
  <c r="C42" i="64" s="1"/>
  <c r="K31" i="64"/>
  <c r="K42" i="64" s="1"/>
  <c r="L31" i="64"/>
  <c r="L42" i="64" s="1"/>
  <c r="E31" i="64"/>
  <c r="E42" i="64" s="1"/>
  <c r="I31" i="64"/>
  <c r="I42" i="64" s="1"/>
  <c r="F123" i="66"/>
  <c r="F124" i="66" s="1"/>
  <c r="F125" i="66" s="1"/>
  <c r="F52" i="66" s="1"/>
  <c r="B66" i="64"/>
  <c r="H65" i="64"/>
  <c r="K66" i="64"/>
  <c r="B31" i="64"/>
  <c r="B42" i="64" s="1"/>
  <c r="C76" i="64"/>
  <c r="C43" i="64"/>
  <c r="E43" i="64"/>
  <c r="E76" i="64"/>
  <c r="B43" i="64"/>
  <c r="B76" i="64"/>
  <c r="F43" i="64"/>
  <c r="F76" i="64"/>
  <c r="L84" i="64"/>
  <c r="D83" i="64"/>
  <c r="L83" i="64"/>
  <c r="K83" i="64"/>
  <c r="O83" i="64"/>
  <c r="E83" i="64"/>
  <c r="M83" i="64"/>
  <c r="C83" i="64"/>
  <c r="B83" i="64"/>
  <c r="F83" i="64"/>
  <c r="J83" i="64"/>
  <c r="N83" i="64"/>
  <c r="N44" i="67"/>
  <c r="N102" i="67"/>
  <c r="P35" i="67"/>
  <c r="B44" i="67"/>
  <c r="B102" i="67"/>
  <c r="P64" i="67"/>
  <c r="P104" i="67"/>
  <c r="P63" i="67"/>
  <c r="P50" i="67"/>
  <c r="P62" i="67"/>
  <c r="P37" i="67"/>
  <c r="E44" i="67"/>
  <c r="E102" i="67"/>
  <c r="I122" i="66"/>
  <c r="P118" i="66"/>
  <c r="P79" i="64"/>
  <c r="P27" i="64"/>
  <c r="C69" i="64"/>
  <c r="K69" i="64"/>
  <c r="N70" i="64"/>
  <c r="P78" i="64"/>
  <c r="C70" i="64"/>
  <c r="E73" i="64"/>
  <c r="E24" i="64" s="1"/>
  <c r="I73" i="64"/>
  <c r="I123" i="64" s="1"/>
  <c r="I124" i="64" s="1"/>
  <c r="I83" i="64" s="1"/>
  <c r="M73" i="64"/>
  <c r="M24" i="64" s="1"/>
  <c r="N75" i="64"/>
  <c r="N73" i="64"/>
  <c r="N24" i="64" s="1"/>
  <c r="N72" i="64"/>
  <c r="N71" i="64"/>
  <c r="E70" i="64"/>
  <c r="E69" i="64"/>
  <c r="E72" i="64"/>
  <c r="E71" i="64"/>
  <c r="I69" i="64"/>
  <c r="I72" i="64"/>
  <c r="I71" i="64"/>
  <c r="I70" i="64"/>
  <c r="M69" i="64"/>
  <c r="M72" i="64"/>
  <c r="M71" i="64"/>
  <c r="M70" i="64"/>
  <c r="B73" i="64"/>
  <c r="B26" i="64" s="1"/>
  <c r="J73" i="64"/>
  <c r="J24" i="64" s="1"/>
  <c r="B72" i="64"/>
  <c r="B71" i="64"/>
  <c r="J72" i="64"/>
  <c r="J71" i="64"/>
  <c r="J70" i="64"/>
  <c r="F69" i="64"/>
  <c r="N69" i="64"/>
  <c r="F70" i="64"/>
  <c r="C72" i="64"/>
  <c r="C71" i="64"/>
  <c r="G72" i="64"/>
  <c r="G71" i="64"/>
  <c r="K72" i="64"/>
  <c r="K71" i="64"/>
  <c r="K70" i="64"/>
  <c r="G69" i="64"/>
  <c r="G70" i="64"/>
  <c r="F71" i="64"/>
  <c r="F72" i="64"/>
  <c r="F73" i="64"/>
  <c r="F25" i="64" s="1"/>
  <c r="C73" i="64"/>
  <c r="C25" i="64" s="1"/>
  <c r="G73" i="64"/>
  <c r="G123" i="64" s="1"/>
  <c r="G84" i="64" s="1"/>
  <c r="K73" i="64"/>
  <c r="K25" i="64" s="1"/>
  <c r="O73" i="64"/>
  <c r="O25" i="64" s="1"/>
  <c r="D73" i="64"/>
  <c r="D25" i="64" s="1"/>
  <c r="H73" i="64"/>
  <c r="H123" i="64" s="1"/>
  <c r="H124" i="64" s="1"/>
  <c r="L73" i="64"/>
  <c r="L25" i="64" s="1"/>
  <c r="D72" i="64"/>
  <c r="D71" i="64"/>
  <c r="D70" i="64"/>
  <c r="D69" i="64"/>
  <c r="H72" i="64"/>
  <c r="H71" i="64"/>
  <c r="H70" i="64"/>
  <c r="H69" i="64"/>
  <c r="L72" i="64"/>
  <c r="L71" i="64"/>
  <c r="L70" i="64"/>
  <c r="L69" i="64"/>
  <c r="B69" i="64"/>
  <c r="J69" i="64"/>
  <c r="B70" i="64"/>
  <c r="O51" i="64" l="1"/>
  <c r="O52" i="64"/>
  <c r="O53" i="64"/>
  <c r="C30" i="64"/>
  <c r="C41" i="64" s="1"/>
  <c r="C53" i="64"/>
  <c r="C51" i="64"/>
  <c r="C52" i="64"/>
  <c r="J51" i="64"/>
  <c r="J52" i="64"/>
  <c r="J53" i="64"/>
  <c r="M52" i="64"/>
  <c r="M53" i="64"/>
  <c r="M51" i="64"/>
  <c r="L53" i="64"/>
  <c r="L51" i="64"/>
  <c r="L52" i="64"/>
  <c r="H30" i="64"/>
  <c r="H41" i="64" s="1"/>
  <c r="B54" i="64"/>
  <c r="B53" i="64"/>
  <c r="B51" i="64"/>
  <c r="I52" i="64"/>
  <c r="I51" i="64"/>
  <c r="I53" i="64"/>
  <c r="N51" i="64"/>
  <c r="N53" i="64"/>
  <c r="N52" i="64"/>
  <c r="K53" i="64"/>
  <c r="K51" i="64"/>
  <c r="K52" i="64"/>
  <c r="F30" i="64"/>
  <c r="F41" i="64"/>
  <c r="E30" i="64"/>
  <c r="E41" i="64" s="1"/>
  <c r="F51" i="64"/>
  <c r="F52" i="64"/>
  <c r="F53" i="64"/>
  <c r="E52" i="64"/>
  <c r="E51" i="64"/>
  <c r="E53" i="64"/>
  <c r="D53" i="64"/>
  <c r="D52" i="64"/>
  <c r="D51" i="64"/>
  <c r="B30" i="64"/>
  <c r="B41" i="64" s="1"/>
  <c r="I54" i="64"/>
  <c r="F54" i="64"/>
  <c r="E54" i="64"/>
  <c r="N54" i="64"/>
  <c r="C54" i="64"/>
  <c r="O54" i="64"/>
  <c r="D54" i="64"/>
  <c r="G124" i="64"/>
  <c r="G83" i="64" s="1"/>
  <c r="G38" i="64" s="1"/>
  <c r="L54" i="64"/>
  <c r="J54" i="64"/>
  <c r="M54" i="64"/>
  <c r="K54" i="64"/>
  <c r="O24" i="64"/>
  <c r="B83" i="66"/>
  <c r="B85" i="66"/>
  <c r="B117" i="66" s="1"/>
  <c r="B121" i="66" s="1"/>
  <c r="H24" i="64"/>
  <c r="H84" i="64"/>
  <c r="F24" i="64"/>
  <c r="I24" i="64"/>
  <c r="I84" i="64"/>
  <c r="L24" i="64"/>
  <c r="D24" i="64"/>
  <c r="K24" i="64"/>
  <c r="C24" i="64"/>
  <c r="B24" i="64"/>
  <c r="C115" i="73"/>
  <c r="D72" i="72"/>
  <c r="P118" i="72"/>
  <c r="D84" i="64"/>
  <c r="D63" i="64"/>
  <c r="D62" i="64"/>
  <c r="F62" i="64"/>
  <c r="F63" i="64"/>
  <c r="E62" i="64"/>
  <c r="E63" i="64"/>
  <c r="G62" i="64"/>
  <c r="G63" i="64"/>
  <c r="I62" i="64"/>
  <c r="I63" i="64"/>
  <c r="K62" i="64"/>
  <c r="K63" i="64"/>
  <c r="L63" i="64"/>
  <c r="L62" i="64"/>
  <c r="J62" i="64"/>
  <c r="J63" i="64"/>
  <c r="H63" i="64"/>
  <c r="H62" i="64"/>
  <c r="O62" i="64"/>
  <c r="O63" i="64"/>
  <c r="B63" i="64"/>
  <c r="B62" i="64"/>
  <c r="N62" i="64"/>
  <c r="N63" i="64"/>
  <c r="M62" i="64"/>
  <c r="M63" i="64"/>
  <c r="C62" i="64"/>
  <c r="C63" i="64"/>
  <c r="I39" i="66"/>
  <c r="I117" i="66" s="1"/>
  <c r="P65" i="64"/>
  <c r="H83" i="64"/>
  <c r="P49" i="67"/>
  <c r="N109" i="67"/>
  <c r="G39" i="64"/>
  <c r="N83" i="66"/>
  <c r="N85" i="66"/>
  <c r="N33" i="66" s="1"/>
  <c r="N86" i="66"/>
  <c r="N34" i="66" s="1"/>
  <c r="M83" i="66"/>
  <c r="M85" i="66"/>
  <c r="M33" i="66" s="1"/>
  <c r="M88" i="66"/>
  <c r="P88" i="66" s="1"/>
  <c r="M87" i="66"/>
  <c r="P87" i="66" s="1"/>
  <c r="E85" i="66"/>
  <c r="E90" i="66"/>
  <c r="P90" i="66" s="1"/>
  <c r="E89" i="66"/>
  <c r="E86" i="66"/>
  <c r="E83" i="66"/>
  <c r="E84" i="66"/>
  <c r="P84" i="66" s="1"/>
  <c r="N25" i="64"/>
  <c r="K26" i="64"/>
  <c r="N26" i="64"/>
  <c r="C26" i="64"/>
  <c r="M26" i="64"/>
  <c r="L26" i="64"/>
  <c r="M25" i="64"/>
  <c r="D26" i="64"/>
  <c r="F26" i="64"/>
  <c r="O26" i="64"/>
  <c r="G26" i="64"/>
  <c r="I26" i="64"/>
  <c r="H26" i="64"/>
  <c r="J26" i="64"/>
  <c r="B25" i="64"/>
  <c r="E26" i="64"/>
  <c r="G25" i="64"/>
  <c r="I25" i="64"/>
  <c r="H25" i="64"/>
  <c r="J25" i="64"/>
  <c r="E25" i="64"/>
  <c r="O122" i="66"/>
  <c r="E122" i="66"/>
  <c r="D122" i="66"/>
  <c r="M122" i="66"/>
  <c r="P50" i="66"/>
  <c r="P51" i="66"/>
  <c r="P64" i="66"/>
  <c r="P66" i="66"/>
  <c r="N122" i="66"/>
  <c r="C122" i="66"/>
  <c r="K122" i="66"/>
  <c r="B122" i="66"/>
  <c r="P49" i="66"/>
  <c r="L122" i="66"/>
  <c r="P65" i="66"/>
  <c r="F122" i="66"/>
  <c r="F59" i="66"/>
  <c r="F61" i="66" s="1"/>
  <c r="J122" i="66"/>
  <c r="P75" i="64"/>
  <c r="P70" i="64"/>
  <c r="P76" i="64"/>
  <c r="P73" i="64"/>
  <c r="P69" i="64"/>
  <c r="P71" i="64"/>
  <c r="P74" i="64"/>
  <c r="P77" i="64"/>
  <c r="P72" i="64"/>
  <c r="C117" i="25"/>
  <c r="C124" i="62" s="1"/>
  <c r="C123" i="50" s="1"/>
  <c r="C130" i="63" s="1"/>
  <c r="C105" i="64" s="1"/>
  <c r="C140" i="66" s="1"/>
  <c r="C127" i="67" s="1"/>
  <c r="C118" i="68" s="1"/>
  <c r="D117" i="25"/>
  <c r="D124" i="62" s="1"/>
  <c r="D123" i="50" s="1"/>
  <c r="D130" i="63" s="1"/>
  <c r="D105" i="64" s="1"/>
  <c r="D140" i="66" s="1"/>
  <c r="E117" i="25"/>
  <c r="E124" i="62" s="1"/>
  <c r="E123" i="50" s="1"/>
  <c r="E130" i="63" s="1"/>
  <c r="E105" i="64" s="1"/>
  <c r="E140" i="66" s="1"/>
  <c r="E127" i="67" s="1"/>
  <c r="E118" i="68" s="1"/>
  <c r="G117" i="25"/>
  <c r="G124" i="62" s="1"/>
  <c r="G123" i="50" s="1"/>
  <c r="G130" i="63" s="1"/>
  <c r="G105" i="64" s="1"/>
  <c r="G140" i="66" s="1"/>
  <c r="G127" i="67" s="1"/>
  <c r="G118" i="68" s="1"/>
  <c r="H117" i="25"/>
  <c r="H124" i="62" s="1"/>
  <c r="H123" i="50" s="1"/>
  <c r="H130" i="63" s="1"/>
  <c r="H105" i="64" s="1"/>
  <c r="H140" i="66" s="1"/>
  <c r="H127" i="67" s="1"/>
  <c r="H118" i="68" s="1"/>
  <c r="I117" i="25"/>
  <c r="I124" i="62" s="1"/>
  <c r="I123" i="50" s="1"/>
  <c r="I130" i="63" s="1"/>
  <c r="I105" i="64" s="1"/>
  <c r="I140" i="66" s="1"/>
  <c r="I127" i="67" s="1"/>
  <c r="I118" i="68" s="1"/>
  <c r="J117" i="25"/>
  <c r="J124" i="62" s="1"/>
  <c r="J123" i="50" s="1"/>
  <c r="J130" i="63" s="1"/>
  <c r="J105" i="64" s="1"/>
  <c r="J140" i="66" s="1"/>
  <c r="J127" i="67" s="1"/>
  <c r="J118" i="68" s="1"/>
  <c r="K117" i="25"/>
  <c r="K124" i="62" s="1"/>
  <c r="K123" i="50" s="1"/>
  <c r="K130" i="63" s="1"/>
  <c r="K105" i="64" s="1"/>
  <c r="K140" i="66" s="1"/>
  <c r="K127" i="67" s="1"/>
  <c r="K118" i="68" s="1"/>
  <c r="L117" i="25"/>
  <c r="L124" i="62" s="1"/>
  <c r="L123" i="50" s="1"/>
  <c r="L130" i="63" s="1"/>
  <c r="L105" i="64" s="1"/>
  <c r="L140" i="66" s="1"/>
  <c r="L127" i="67" s="1"/>
  <c r="L118" i="68" s="1"/>
  <c r="M117" i="25"/>
  <c r="M124" i="62" s="1"/>
  <c r="M123" i="50" s="1"/>
  <c r="M130" i="63" s="1"/>
  <c r="M105" i="64" s="1"/>
  <c r="M140" i="66" s="1"/>
  <c r="M127" i="67" s="1"/>
  <c r="M118" i="68" s="1"/>
  <c r="N117" i="25"/>
  <c r="N124" i="62" s="1"/>
  <c r="N123" i="50" s="1"/>
  <c r="N130" i="63" s="1"/>
  <c r="N105" i="64" s="1"/>
  <c r="N140" i="66" s="1"/>
  <c r="N127" i="67" s="1"/>
  <c r="N118" i="68" s="1"/>
  <c r="O117" i="25"/>
  <c r="O124" i="62" s="1"/>
  <c r="O123" i="50" s="1"/>
  <c r="O130" i="63" s="1"/>
  <c r="O105" i="64" s="1"/>
  <c r="O140" i="66" s="1"/>
  <c r="O127" i="67" s="1"/>
  <c r="O118" i="68" s="1"/>
  <c r="B117" i="25"/>
  <c r="B124" i="62" s="1"/>
  <c r="B123" i="50" s="1"/>
  <c r="B130" i="63" s="1"/>
  <c r="B105" i="64" s="1"/>
  <c r="B140" i="66" s="1"/>
  <c r="B127" i="67" s="1"/>
  <c r="B118" i="68" s="1"/>
  <c r="C110" i="25"/>
  <c r="P30" i="64" l="1"/>
  <c r="L82" i="64"/>
  <c r="H53" i="64"/>
  <c r="H52" i="64"/>
  <c r="H51" i="64"/>
  <c r="C82" i="64"/>
  <c r="G51" i="64"/>
  <c r="G52" i="64"/>
  <c r="G53" i="64"/>
  <c r="B82" i="64"/>
  <c r="E82" i="64"/>
  <c r="K82" i="64"/>
  <c r="I82" i="64"/>
  <c r="F82" i="64"/>
  <c r="G54" i="64"/>
  <c r="G37" i="64"/>
  <c r="G87" i="64" s="1"/>
  <c r="B33" i="66"/>
  <c r="B116" i="66" s="1"/>
  <c r="B45" i="66"/>
  <c r="E117" i="66"/>
  <c r="E121" i="66" s="1"/>
  <c r="I121" i="66"/>
  <c r="I123" i="66" s="1"/>
  <c r="I124" i="66" s="1"/>
  <c r="I125" i="66" s="1"/>
  <c r="P110" i="25"/>
  <c r="C117" i="62"/>
  <c r="C116" i="50" s="1"/>
  <c r="C123" i="63" s="1"/>
  <c r="P43" i="64"/>
  <c r="H54" i="64"/>
  <c r="C106" i="74"/>
  <c r="C113" i="74"/>
  <c r="L113" i="74" s="1"/>
  <c r="C71" i="73"/>
  <c r="M71" i="73" s="1"/>
  <c r="I116" i="66"/>
  <c r="K123" i="66"/>
  <c r="K124" i="66" s="1"/>
  <c r="K125" i="66" s="1"/>
  <c r="B123" i="66"/>
  <c r="B124" i="66" s="1"/>
  <c r="B125" i="66" s="1"/>
  <c r="L123" i="66"/>
  <c r="L124" i="66" s="1"/>
  <c r="L125" i="66" s="1"/>
  <c r="C123" i="66"/>
  <c r="C124" i="66" s="1"/>
  <c r="C125" i="66" s="1"/>
  <c r="H38" i="64"/>
  <c r="H39" i="64"/>
  <c r="H37" i="64"/>
  <c r="I45" i="66"/>
  <c r="P63" i="64"/>
  <c r="P39" i="66"/>
  <c r="P62" i="64"/>
  <c r="M161" i="70"/>
  <c r="M159" i="71" s="1"/>
  <c r="M126" i="72" s="1"/>
  <c r="K123" i="73" s="1"/>
  <c r="O161" i="70"/>
  <c r="O159" i="71" s="1"/>
  <c r="O126" i="72" s="1"/>
  <c r="L123" i="73" s="1"/>
  <c r="K161" i="70"/>
  <c r="K159" i="71" s="1"/>
  <c r="K126" i="72" s="1"/>
  <c r="I123" i="73" s="1"/>
  <c r="G161" i="70"/>
  <c r="G159" i="71" s="1"/>
  <c r="G126" i="72" s="1"/>
  <c r="F123" i="73" s="1"/>
  <c r="N161" i="70"/>
  <c r="N159" i="71" s="1"/>
  <c r="N126" i="72" s="1"/>
  <c r="J161" i="70"/>
  <c r="J159" i="71" s="1"/>
  <c r="J126" i="72" s="1"/>
  <c r="H123" i="73" s="1"/>
  <c r="E161" i="70"/>
  <c r="E159" i="71" s="1"/>
  <c r="E126" i="72" s="1"/>
  <c r="D123" i="73" s="1"/>
  <c r="D159" i="71"/>
  <c r="D126" i="72" s="1"/>
  <c r="C123" i="73" s="1"/>
  <c r="I161" i="70"/>
  <c r="I159" i="71" s="1"/>
  <c r="I126" i="72" s="1"/>
  <c r="G123" i="73" s="1"/>
  <c r="B161" i="70"/>
  <c r="B159" i="71" s="1"/>
  <c r="B126" i="72" s="1"/>
  <c r="B123" i="73" s="1"/>
  <c r="L161" i="70"/>
  <c r="L159" i="71" s="1"/>
  <c r="L126" i="72" s="1"/>
  <c r="J123" i="73" s="1"/>
  <c r="H161" i="70"/>
  <c r="H159" i="71" s="1"/>
  <c r="H126" i="72" s="1"/>
  <c r="P109" i="67"/>
  <c r="I38" i="64"/>
  <c r="I39" i="64"/>
  <c r="I37" i="64"/>
  <c r="M35" i="66"/>
  <c r="P86" i="66"/>
  <c r="P85" i="66"/>
  <c r="M36" i="66"/>
  <c r="E33" i="66"/>
  <c r="P83" i="66"/>
  <c r="E34" i="66"/>
  <c r="P34" i="66" s="1"/>
  <c r="E37" i="66"/>
  <c r="P37" i="66" s="1"/>
  <c r="P89" i="66"/>
  <c r="E38" i="66"/>
  <c r="P38" i="66" s="1"/>
  <c r="P122" i="66"/>
  <c r="B33" i="64"/>
  <c r="P84" i="64"/>
  <c r="P41" i="64"/>
  <c r="I81" i="64"/>
  <c r="F81" i="64"/>
  <c r="F33" i="64"/>
  <c r="L81" i="64"/>
  <c r="L33" i="64"/>
  <c r="P25" i="64"/>
  <c r="I33" i="64"/>
  <c r="K81" i="64"/>
  <c r="K33" i="64"/>
  <c r="P24" i="64"/>
  <c r="P26" i="64"/>
  <c r="C81" i="64"/>
  <c r="C33" i="64"/>
  <c r="D73" i="1"/>
  <c r="D67" i="1"/>
  <c r="E67" i="1"/>
  <c r="F67" i="1"/>
  <c r="G67" i="1"/>
  <c r="H67" i="1"/>
  <c r="I67" i="1"/>
  <c r="J67" i="1"/>
  <c r="K67" i="1"/>
  <c r="L67" i="1"/>
  <c r="M67" i="1"/>
  <c r="N67" i="1"/>
  <c r="O67" i="1"/>
  <c r="P67" i="1"/>
  <c r="C67" i="1"/>
  <c r="D71" i="1"/>
  <c r="E71" i="1"/>
  <c r="F71" i="1"/>
  <c r="G71" i="1"/>
  <c r="H71" i="1"/>
  <c r="I71" i="1"/>
  <c r="J71" i="1"/>
  <c r="K71" i="1"/>
  <c r="L71" i="1"/>
  <c r="M71" i="1"/>
  <c r="N71" i="1"/>
  <c r="O71" i="1"/>
  <c r="P71" i="1"/>
  <c r="C71" i="1"/>
  <c r="D108" i="25"/>
  <c r="D115" i="62" s="1"/>
  <c r="D114" i="50" s="1"/>
  <c r="D121" i="63" s="1"/>
  <c r="D109" i="25"/>
  <c r="D116" i="62" s="1"/>
  <c r="D115" i="50" s="1"/>
  <c r="D122" i="63" s="1"/>
  <c r="D70" i="1"/>
  <c r="E70" i="1"/>
  <c r="F70" i="1"/>
  <c r="G70" i="1"/>
  <c r="H70" i="1"/>
  <c r="I70" i="1"/>
  <c r="J70" i="1"/>
  <c r="K70" i="1"/>
  <c r="L70" i="1"/>
  <c r="M70" i="1"/>
  <c r="N70" i="1"/>
  <c r="O70" i="1"/>
  <c r="P70" i="1"/>
  <c r="C70" i="1"/>
  <c r="C109" i="25"/>
  <c r="C116" i="62" s="1"/>
  <c r="C115" i="50" s="1"/>
  <c r="C122" i="63" s="1"/>
  <c r="E109" i="25"/>
  <c r="E116" i="62" s="1"/>
  <c r="E115" i="50" s="1"/>
  <c r="E122" i="63" s="1"/>
  <c r="F109" i="25"/>
  <c r="F116" i="62" s="1"/>
  <c r="F115" i="50" s="1"/>
  <c r="F122" i="63" s="1"/>
  <c r="G109" i="25"/>
  <c r="G116" i="62" s="1"/>
  <c r="G115" i="50" s="1"/>
  <c r="G122" i="63" s="1"/>
  <c r="H109" i="25"/>
  <c r="H116" i="62" s="1"/>
  <c r="H115" i="50" s="1"/>
  <c r="H122" i="63" s="1"/>
  <c r="I109" i="25"/>
  <c r="I116" i="62" s="1"/>
  <c r="I115" i="50" s="1"/>
  <c r="I122" i="63" s="1"/>
  <c r="J109" i="25"/>
  <c r="J116" i="62" s="1"/>
  <c r="J115" i="50" s="1"/>
  <c r="J122" i="63" s="1"/>
  <c r="K109" i="25"/>
  <c r="K116" i="62" s="1"/>
  <c r="K115" i="50" s="1"/>
  <c r="K122" i="63" s="1"/>
  <c r="L109" i="25"/>
  <c r="L116" i="62" s="1"/>
  <c r="L115" i="50" s="1"/>
  <c r="L122" i="63" s="1"/>
  <c r="M109" i="25"/>
  <c r="M116" i="62" s="1"/>
  <c r="M115" i="50" s="1"/>
  <c r="M122" i="63" s="1"/>
  <c r="N109" i="25"/>
  <c r="N116" i="62" s="1"/>
  <c r="N115" i="50" s="1"/>
  <c r="N122" i="63" s="1"/>
  <c r="O109" i="25"/>
  <c r="O116" i="62" s="1"/>
  <c r="O115" i="50" s="1"/>
  <c r="O122" i="63" s="1"/>
  <c r="B109" i="25"/>
  <c r="B116" i="62" s="1"/>
  <c r="B115" i="50" s="1"/>
  <c r="B122" i="63" s="1"/>
  <c r="D66" i="1"/>
  <c r="E66" i="1"/>
  <c r="F66" i="1"/>
  <c r="G66" i="1"/>
  <c r="H66" i="1"/>
  <c r="I66" i="1"/>
  <c r="J66" i="1"/>
  <c r="K66" i="1"/>
  <c r="L66" i="1"/>
  <c r="M66" i="1"/>
  <c r="N66" i="1"/>
  <c r="O66" i="1"/>
  <c r="P66" i="1"/>
  <c r="C66" i="1"/>
  <c r="P54" i="64" l="1"/>
  <c r="K121" i="74"/>
  <c r="F121" i="74"/>
  <c r="J121" i="74"/>
  <c r="C121" i="74"/>
  <c r="E121" i="74"/>
  <c r="B121" i="74"/>
  <c r="G121" i="74"/>
  <c r="I121" i="74"/>
  <c r="H121" i="74"/>
  <c r="H87" i="64"/>
  <c r="I52" i="66"/>
  <c r="I59" i="66" s="1"/>
  <c r="I61" i="66" s="1"/>
  <c r="E123" i="66"/>
  <c r="E124" i="66" s="1"/>
  <c r="E125" i="66" s="1"/>
  <c r="K52" i="66"/>
  <c r="K59" i="66" s="1"/>
  <c r="K61" i="66" s="1"/>
  <c r="C52" i="66"/>
  <c r="C59" i="66" s="1"/>
  <c r="P79" i="66"/>
  <c r="P77" i="66"/>
  <c r="L52" i="66"/>
  <c r="L59" i="66" s="1"/>
  <c r="L61" i="66" s="1"/>
  <c r="P76" i="66"/>
  <c r="P109" i="25"/>
  <c r="I87" i="64"/>
  <c r="D39" i="64"/>
  <c r="D38" i="64"/>
  <c r="D37" i="64"/>
  <c r="K39" i="64"/>
  <c r="K37" i="64"/>
  <c r="K38" i="64"/>
  <c r="J37" i="64"/>
  <c r="J38" i="64"/>
  <c r="J39" i="64"/>
  <c r="O37" i="64"/>
  <c r="O39" i="64"/>
  <c r="O38" i="64"/>
  <c r="N37" i="64"/>
  <c r="N38" i="64"/>
  <c r="N39" i="64"/>
  <c r="C37" i="64"/>
  <c r="C39" i="64"/>
  <c r="C38" i="64"/>
  <c r="E38" i="64"/>
  <c r="E39" i="64"/>
  <c r="E37" i="64"/>
  <c r="L39" i="64"/>
  <c r="L38" i="64"/>
  <c r="L37" i="64"/>
  <c r="F37" i="64"/>
  <c r="F38" i="64"/>
  <c r="F39" i="64"/>
  <c r="M38" i="64"/>
  <c r="M37" i="64"/>
  <c r="M39" i="64"/>
  <c r="B37" i="64"/>
  <c r="B38" i="64"/>
  <c r="B52" i="64"/>
  <c r="B39" i="64"/>
  <c r="E116" i="66"/>
  <c r="P33" i="66"/>
  <c r="E45" i="66"/>
  <c r="E81" i="64"/>
  <c r="E33" i="64"/>
  <c r="B81" i="64"/>
  <c r="P83" i="64"/>
  <c r="P44" i="64"/>
  <c r="C108" i="25"/>
  <c r="C115" i="62" s="1"/>
  <c r="C114" i="50" s="1"/>
  <c r="C121" i="63" s="1"/>
  <c r="E108" i="25"/>
  <c r="E115" i="62" s="1"/>
  <c r="E114" i="50" s="1"/>
  <c r="E121" i="63" s="1"/>
  <c r="F108" i="25"/>
  <c r="F115" i="62" s="1"/>
  <c r="F114" i="50" s="1"/>
  <c r="F121" i="63" s="1"/>
  <c r="G108" i="25"/>
  <c r="G115" i="62" s="1"/>
  <c r="G114" i="50" s="1"/>
  <c r="G121" i="63" s="1"/>
  <c r="H108" i="25"/>
  <c r="H115" i="62" s="1"/>
  <c r="H114" i="50" s="1"/>
  <c r="H121" i="63" s="1"/>
  <c r="I108" i="25"/>
  <c r="I115" i="62" s="1"/>
  <c r="I114" i="50" s="1"/>
  <c r="I121" i="63" s="1"/>
  <c r="J108" i="25"/>
  <c r="J115" i="62" s="1"/>
  <c r="J114" i="50" s="1"/>
  <c r="J121" i="63" s="1"/>
  <c r="K108" i="25"/>
  <c r="K115" i="62" s="1"/>
  <c r="K114" i="50" s="1"/>
  <c r="K121" i="63" s="1"/>
  <c r="L108" i="25"/>
  <c r="L115" i="62" s="1"/>
  <c r="L114" i="50" s="1"/>
  <c r="L121" i="63" s="1"/>
  <c r="M108" i="25"/>
  <c r="M115" i="62" s="1"/>
  <c r="M114" i="50" s="1"/>
  <c r="M121" i="63" s="1"/>
  <c r="N108" i="25"/>
  <c r="N115" i="62" s="1"/>
  <c r="N114" i="50" s="1"/>
  <c r="N121" i="63" s="1"/>
  <c r="O108" i="25"/>
  <c r="O115" i="62" s="1"/>
  <c r="O114" i="50" s="1"/>
  <c r="O121" i="63" s="1"/>
  <c r="B108" i="25"/>
  <c r="B115" i="62" s="1"/>
  <c r="B114" i="50" s="1"/>
  <c r="B121" i="63" s="1"/>
  <c r="L114" i="74" l="1"/>
  <c r="E52" i="66"/>
  <c r="E59" i="66" s="1"/>
  <c r="E61" i="66" s="1"/>
  <c r="P108" i="25"/>
  <c r="M87" i="64"/>
  <c r="B52" i="66"/>
  <c r="O87" i="64"/>
  <c r="N87" i="64"/>
  <c r="P51" i="64"/>
  <c r="K87" i="64"/>
  <c r="J87" i="64"/>
  <c r="E87" i="64"/>
  <c r="P52" i="64"/>
  <c r="P37" i="64"/>
  <c r="B87" i="64"/>
  <c r="L87" i="64"/>
  <c r="F87" i="64"/>
  <c r="D87" i="64"/>
  <c r="P39" i="64"/>
  <c r="P38" i="64"/>
  <c r="P53" i="64"/>
  <c r="C87" i="64"/>
  <c r="O137" i="63"/>
  <c r="N137" i="63"/>
  <c r="M137" i="63"/>
  <c r="L137" i="63"/>
  <c r="K137" i="63"/>
  <c r="J137" i="63"/>
  <c r="I137" i="63"/>
  <c r="H137" i="63"/>
  <c r="G137" i="63"/>
  <c r="F137" i="63"/>
  <c r="E137" i="63"/>
  <c r="D137" i="63"/>
  <c r="C137" i="63"/>
  <c r="B137" i="63"/>
  <c r="O136" i="63"/>
  <c r="N136" i="63"/>
  <c r="M136" i="63"/>
  <c r="L136" i="63"/>
  <c r="K136" i="63"/>
  <c r="J136" i="63"/>
  <c r="I136" i="63"/>
  <c r="H136" i="63"/>
  <c r="G136" i="63"/>
  <c r="F136" i="63"/>
  <c r="E136" i="63"/>
  <c r="D136" i="63"/>
  <c r="C136" i="63"/>
  <c r="B136" i="63"/>
  <c r="O27" i="63"/>
  <c r="N134" i="63"/>
  <c r="M134" i="63"/>
  <c r="L134" i="63"/>
  <c r="K134" i="63"/>
  <c r="J134" i="63"/>
  <c r="I134" i="63"/>
  <c r="H134" i="63"/>
  <c r="G135" i="63"/>
  <c r="G27" i="63" s="1"/>
  <c r="F134" i="63"/>
  <c r="E134" i="63"/>
  <c r="D134" i="63"/>
  <c r="C134" i="63"/>
  <c r="B134" i="63"/>
  <c r="I90" i="63"/>
  <c r="H90" i="63"/>
  <c r="I89" i="63"/>
  <c r="H89" i="63"/>
  <c r="O20" i="63"/>
  <c r="N20" i="63"/>
  <c r="M20" i="63"/>
  <c r="L20" i="63"/>
  <c r="K20" i="63"/>
  <c r="J20" i="63"/>
  <c r="I20" i="63"/>
  <c r="H20" i="63"/>
  <c r="G20" i="63"/>
  <c r="F20" i="63"/>
  <c r="E20" i="63"/>
  <c r="D20" i="63"/>
  <c r="C20" i="63"/>
  <c r="B20" i="63"/>
  <c r="O18" i="63"/>
  <c r="O149" i="63" s="1"/>
  <c r="N18" i="63"/>
  <c r="N149" i="63" s="1"/>
  <c r="M18" i="63"/>
  <c r="M149" i="63" s="1"/>
  <c r="L18" i="63"/>
  <c r="L149" i="63" s="1"/>
  <c r="K18" i="63"/>
  <c r="K149" i="63" s="1"/>
  <c r="J18" i="63"/>
  <c r="J149" i="63" s="1"/>
  <c r="I18" i="63"/>
  <c r="H18" i="63"/>
  <c r="G18" i="63"/>
  <c r="F18" i="63"/>
  <c r="F149" i="63" s="1"/>
  <c r="E18" i="63"/>
  <c r="E149" i="63" s="1"/>
  <c r="D18" i="63"/>
  <c r="D149" i="63" s="1"/>
  <c r="C18" i="63"/>
  <c r="C149" i="63" s="1"/>
  <c r="B18" i="63"/>
  <c r="B149" i="63" s="1"/>
  <c r="I17" i="63"/>
  <c r="F17" i="63"/>
  <c r="E17" i="63"/>
  <c r="C17" i="63"/>
  <c r="B17" i="63"/>
  <c r="O16" i="63"/>
  <c r="N16" i="63"/>
  <c r="M16" i="63"/>
  <c r="L16" i="63"/>
  <c r="K16" i="63"/>
  <c r="J16" i="63"/>
  <c r="I16" i="63"/>
  <c r="H16" i="63"/>
  <c r="G16" i="63"/>
  <c r="F16" i="63"/>
  <c r="E16" i="63"/>
  <c r="D16" i="63"/>
  <c r="C16" i="63"/>
  <c r="B16" i="63"/>
  <c r="B54" i="63" s="1"/>
  <c r="O15" i="63"/>
  <c r="O86" i="63" s="1"/>
  <c r="N15" i="63"/>
  <c r="N86" i="63" s="1"/>
  <c r="M15" i="63"/>
  <c r="M86" i="63" s="1"/>
  <c r="L15" i="63"/>
  <c r="L86" i="63" s="1"/>
  <c r="K15" i="63"/>
  <c r="K86" i="63" s="1"/>
  <c r="J15" i="63"/>
  <c r="J86" i="63" s="1"/>
  <c r="I15" i="63"/>
  <c r="I86" i="63" s="1"/>
  <c r="H15" i="63"/>
  <c r="H86" i="63" s="1"/>
  <c r="G15" i="63"/>
  <c r="G86" i="63" s="1"/>
  <c r="F15" i="63"/>
  <c r="F86" i="63" s="1"/>
  <c r="E15" i="63"/>
  <c r="E86" i="63" s="1"/>
  <c r="D15" i="63"/>
  <c r="D86" i="63" s="1"/>
  <c r="C15" i="63"/>
  <c r="C86" i="63" s="1"/>
  <c r="B15" i="63"/>
  <c r="B86" i="63" s="1"/>
  <c r="O14" i="63"/>
  <c r="O85" i="63" s="1"/>
  <c r="N14" i="63"/>
  <c r="N85" i="63" s="1"/>
  <c r="M14" i="63"/>
  <c r="M85" i="63" s="1"/>
  <c r="L14" i="63"/>
  <c r="L85" i="63" s="1"/>
  <c r="K14" i="63"/>
  <c r="K85" i="63" s="1"/>
  <c r="J14" i="63"/>
  <c r="J85" i="63" s="1"/>
  <c r="I14" i="63"/>
  <c r="I85" i="63" s="1"/>
  <c r="H14" i="63"/>
  <c r="H85" i="63" s="1"/>
  <c r="G14" i="63"/>
  <c r="G85" i="63" s="1"/>
  <c r="F14" i="63"/>
  <c r="F85" i="63" s="1"/>
  <c r="E14" i="63"/>
  <c r="E85" i="63" s="1"/>
  <c r="D14" i="63"/>
  <c r="D85" i="63" s="1"/>
  <c r="C14" i="63"/>
  <c r="C85" i="63" s="1"/>
  <c r="B14" i="63"/>
  <c r="B85" i="63" s="1"/>
  <c r="O13" i="63"/>
  <c r="N13" i="63"/>
  <c r="M13" i="63"/>
  <c r="L13" i="63"/>
  <c r="K13" i="63"/>
  <c r="J13" i="63"/>
  <c r="I13" i="63"/>
  <c r="H13" i="63"/>
  <c r="G13" i="63"/>
  <c r="F13" i="63"/>
  <c r="E13" i="63"/>
  <c r="D13" i="63"/>
  <c r="C13" i="63"/>
  <c r="B13" i="63"/>
  <c r="O12" i="63"/>
  <c r="N12" i="63"/>
  <c r="M12" i="63"/>
  <c r="L12" i="63"/>
  <c r="K12" i="63"/>
  <c r="J12" i="63"/>
  <c r="I12" i="63"/>
  <c r="H12" i="63"/>
  <c r="G12" i="63"/>
  <c r="F12" i="63"/>
  <c r="E12" i="63"/>
  <c r="D12" i="63"/>
  <c r="C12" i="63"/>
  <c r="B12" i="63"/>
  <c r="O11" i="63"/>
  <c r="O131" i="63" s="1"/>
  <c r="O106" i="64" s="1"/>
  <c r="O141" i="66" s="1"/>
  <c r="O128" i="67" s="1"/>
  <c r="N11" i="63"/>
  <c r="M11" i="63"/>
  <c r="L11" i="63"/>
  <c r="K11" i="63"/>
  <c r="J11" i="63"/>
  <c r="I11" i="63"/>
  <c r="H11" i="63"/>
  <c r="G11" i="63"/>
  <c r="G131" i="63" s="1"/>
  <c r="F11" i="63"/>
  <c r="E11" i="63"/>
  <c r="D11" i="63"/>
  <c r="C11" i="63"/>
  <c r="B11" i="63"/>
  <c r="O8" i="63"/>
  <c r="N8" i="63"/>
  <c r="M8" i="63"/>
  <c r="L8" i="63"/>
  <c r="K8" i="63"/>
  <c r="J8" i="63"/>
  <c r="I8" i="63"/>
  <c r="H8" i="63"/>
  <c r="G8" i="63"/>
  <c r="F8" i="63"/>
  <c r="E8" i="63"/>
  <c r="D8" i="63"/>
  <c r="C8" i="63"/>
  <c r="B8" i="63"/>
  <c r="H88" i="63" l="1"/>
  <c r="H54" i="63" s="1"/>
  <c r="H87" i="63"/>
  <c r="G24" i="63"/>
  <c r="O24" i="63"/>
  <c r="O148" i="63"/>
  <c r="E148" i="63"/>
  <c r="M148" i="63"/>
  <c r="C148" i="63"/>
  <c r="K148" i="63"/>
  <c r="D148" i="63"/>
  <c r="L148" i="63"/>
  <c r="L95" i="63" s="1"/>
  <c r="B148" i="63"/>
  <c r="F148" i="63"/>
  <c r="J148" i="63"/>
  <c r="N148" i="63"/>
  <c r="C94" i="63"/>
  <c r="K94" i="63"/>
  <c r="O94" i="63"/>
  <c r="D94" i="63"/>
  <c r="L94" i="63"/>
  <c r="E94" i="63"/>
  <c r="M94" i="63"/>
  <c r="F94" i="63"/>
  <c r="J94" i="63"/>
  <c r="N94" i="63"/>
  <c r="G40" i="63"/>
  <c r="G52" i="63" s="1"/>
  <c r="D40" i="63"/>
  <c r="D52" i="63" s="1"/>
  <c r="H40" i="63"/>
  <c r="H76" i="63"/>
  <c r="E41" i="63"/>
  <c r="E53" i="63" s="1"/>
  <c r="I41" i="63"/>
  <c r="I53" i="63" s="1"/>
  <c r="E54" i="63"/>
  <c r="E87" i="63"/>
  <c r="B41" i="63"/>
  <c r="B53" i="63" s="1"/>
  <c r="B77" i="63"/>
  <c r="F41" i="63"/>
  <c r="F53" i="63" s="1"/>
  <c r="F54" i="63"/>
  <c r="F87" i="63"/>
  <c r="C41" i="63"/>
  <c r="C53" i="63" s="1"/>
  <c r="K77" i="63"/>
  <c r="O95" i="63"/>
  <c r="C76" i="63"/>
  <c r="B94" i="63"/>
  <c r="P27" i="63"/>
  <c r="P87" i="64"/>
  <c r="B59" i="66"/>
  <c r="P90" i="63"/>
  <c r="H80" i="63"/>
  <c r="H83" i="63"/>
  <c r="H82" i="63"/>
  <c r="H84" i="63"/>
  <c r="H25" i="63" s="1"/>
  <c r="I84" i="63"/>
  <c r="I148" i="63" s="1"/>
  <c r="I24" i="63" s="1"/>
  <c r="E83" i="63"/>
  <c r="E82" i="63"/>
  <c r="E81" i="63"/>
  <c r="E80" i="63"/>
  <c r="B84" i="63"/>
  <c r="B24" i="63" s="1"/>
  <c r="F84" i="63"/>
  <c r="F25" i="63" s="1"/>
  <c r="J84" i="63"/>
  <c r="J25" i="63" s="1"/>
  <c r="N84" i="63"/>
  <c r="N24" i="63" s="1"/>
  <c r="B83" i="63"/>
  <c r="B82" i="63"/>
  <c r="B81" i="63"/>
  <c r="B80" i="63"/>
  <c r="F83" i="63"/>
  <c r="F82" i="63"/>
  <c r="F81" i="63"/>
  <c r="F80" i="63"/>
  <c r="J83" i="63"/>
  <c r="J82" i="63"/>
  <c r="J81" i="63"/>
  <c r="J80" i="63"/>
  <c r="N83" i="63"/>
  <c r="N82" i="63"/>
  <c r="N81" i="63"/>
  <c r="N80" i="63"/>
  <c r="P86" i="63"/>
  <c r="I83" i="63"/>
  <c r="I82" i="63"/>
  <c r="I81" i="63"/>
  <c r="I80" i="63"/>
  <c r="C84" i="63"/>
  <c r="C25" i="63" s="1"/>
  <c r="G84" i="63"/>
  <c r="G25" i="63" s="1"/>
  <c r="K84" i="63"/>
  <c r="K25" i="63" s="1"/>
  <c r="O84" i="63"/>
  <c r="O25" i="63" s="1"/>
  <c r="C83" i="63"/>
  <c r="C82" i="63"/>
  <c r="C81" i="63"/>
  <c r="C80" i="63"/>
  <c r="G83" i="63"/>
  <c r="G82" i="63"/>
  <c r="G81" i="63"/>
  <c r="G80" i="63"/>
  <c r="K83" i="63"/>
  <c r="K82" i="63"/>
  <c r="K81" i="63"/>
  <c r="K80" i="63"/>
  <c r="O83" i="63"/>
  <c r="O82" i="63"/>
  <c r="O81" i="63"/>
  <c r="O80" i="63"/>
  <c r="H81" i="63"/>
  <c r="E84" i="63"/>
  <c r="E24" i="63" s="1"/>
  <c r="M84" i="63"/>
  <c r="M25" i="63" s="1"/>
  <c r="C87" i="63"/>
  <c r="C54" i="63"/>
  <c r="M83" i="63"/>
  <c r="M82" i="63"/>
  <c r="M81" i="63"/>
  <c r="M80" i="63"/>
  <c r="D84" i="63"/>
  <c r="D25" i="63" s="1"/>
  <c r="L84" i="63"/>
  <c r="L26" i="63" s="1"/>
  <c r="D83" i="63"/>
  <c r="D82" i="63"/>
  <c r="D81" i="63"/>
  <c r="D80" i="63"/>
  <c r="L83" i="63"/>
  <c r="L82" i="63"/>
  <c r="L81" i="63"/>
  <c r="L80" i="63"/>
  <c r="P89" i="63"/>
  <c r="C127" i="50"/>
  <c r="D127" i="50"/>
  <c r="E127" i="50"/>
  <c r="F127" i="50"/>
  <c r="G128" i="50"/>
  <c r="G27" i="50" s="1"/>
  <c r="H127" i="50"/>
  <c r="I127" i="50"/>
  <c r="J127" i="50"/>
  <c r="K127" i="50"/>
  <c r="L127" i="50"/>
  <c r="M127" i="50"/>
  <c r="N127" i="50"/>
  <c r="O27" i="50"/>
  <c r="C129" i="50"/>
  <c r="D129" i="50"/>
  <c r="E129" i="50"/>
  <c r="F129" i="50"/>
  <c r="G129" i="50"/>
  <c r="H129" i="50"/>
  <c r="I129" i="50"/>
  <c r="J129" i="50"/>
  <c r="K129" i="50"/>
  <c r="L129" i="50"/>
  <c r="M129" i="50"/>
  <c r="N129" i="50"/>
  <c r="O129" i="50"/>
  <c r="C130" i="50"/>
  <c r="D130" i="50"/>
  <c r="E130" i="50"/>
  <c r="F130" i="50"/>
  <c r="G130" i="50"/>
  <c r="H130" i="50"/>
  <c r="I130" i="50"/>
  <c r="J130" i="50"/>
  <c r="K130" i="50"/>
  <c r="L130" i="50"/>
  <c r="M130" i="50"/>
  <c r="N130" i="50"/>
  <c r="O130" i="50"/>
  <c r="B130" i="50"/>
  <c r="B129" i="50"/>
  <c r="B127" i="50"/>
  <c r="C15" i="50"/>
  <c r="D15" i="50"/>
  <c r="E15" i="50"/>
  <c r="F15" i="50"/>
  <c r="G15" i="50"/>
  <c r="G93" i="50" s="1"/>
  <c r="H15" i="50"/>
  <c r="H93" i="50" s="1"/>
  <c r="I15" i="50"/>
  <c r="I93" i="50" s="1"/>
  <c r="J15" i="50"/>
  <c r="J93" i="50" s="1"/>
  <c r="K15" i="50"/>
  <c r="K93" i="50" s="1"/>
  <c r="L15" i="50"/>
  <c r="L93" i="50" s="1"/>
  <c r="M15" i="50"/>
  <c r="M93" i="50" s="1"/>
  <c r="N15" i="50"/>
  <c r="N93" i="50" s="1"/>
  <c r="O15" i="50"/>
  <c r="O93" i="50" s="1"/>
  <c r="B15" i="50"/>
  <c r="C40" i="63" l="1"/>
  <c r="C52" i="63" s="1"/>
  <c r="E40" i="63"/>
  <c r="E52" i="63" s="1"/>
  <c r="N65" i="63"/>
  <c r="N49" i="63"/>
  <c r="N62" i="63"/>
  <c r="N63" i="63"/>
  <c r="N48" i="63"/>
  <c r="N47" i="63"/>
  <c r="N64" i="63"/>
  <c r="H52" i="63"/>
  <c r="J65" i="63"/>
  <c r="J49" i="63"/>
  <c r="J62" i="63"/>
  <c r="J48" i="63"/>
  <c r="J63" i="63"/>
  <c r="J47" i="63"/>
  <c r="J64" i="63"/>
  <c r="L65" i="63"/>
  <c r="L47" i="63"/>
  <c r="L64" i="63"/>
  <c r="L63" i="63"/>
  <c r="L48" i="63"/>
  <c r="L49" i="63"/>
  <c r="L62" i="63"/>
  <c r="C65" i="63"/>
  <c r="C48" i="63"/>
  <c r="C49" i="63"/>
  <c r="C62" i="63"/>
  <c r="C64" i="63"/>
  <c r="C63" i="63"/>
  <c r="C47" i="63"/>
  <c r="B40" i="63"/>
  <c r="B52" i="63" s="1"/>
  <c r="E65" i="63"/>
  <c r="E63" i="63"/>
  <c r="E62" i="63"/>
  <c r="E47" i="63"/>
  <c r="E64" i="63"/>
  <c r="E48" i="63"/>
  <c r="E49" i="63"/>
  <c r="B65" i="63"/>
  <c r="B64" i="63"/>
  <c r="B62" i="63"/>
  <c r="B49" i="63"/>
  <c r="B47" i="63"/>
  <c r="F65" i="63"/>
  <c r="F49" i="63"/>
  <c r="F62" i="63"/>
  <c r="F63" i="63"/>
  <c r="F47" i="63"/>
  <c r="F64" i="63"/>
  <c r="F48" i="63"/>
  <c r="D65" i="63"/>
  <c r="D47" i="63"/>
  <c r="D64" i="63"/>
  <c r="D48" i="63"/>
  <c r="D63" i="63"/>
  <c r="D49" i="63"/>
  <c r="D62" i="63"/>
  <c r="K65" i="63"/>
  <c r="K48" i="63"/>
  <c r="K64" i="63"/>
  <c r="K49" i="63"/>
  <c r="K62" i="63"/>
  <c r="K47" i="63"/>
  <c r="K63" i="63"/>
  <c r="F40" i="63"/>
  <c r="F52" i="63" s="1"/>
  <c r="M65" i="63"/>
  <c r="M63" i="63"/>
  <c r="M62" i="63"/>
  <c r="M47" i="63"/>
  <c r="M64" i="63"/>
  <c r="M49" i="63"/>
  <c r="M48" i="63"/>
  <c r="O65" i="63"/>
  <c r="O48" i="63"/>
  <c r="O49" i="63"/>
  <c r="O62" i="63"/>
  <c r="O47" i="63"/>
  <c r="O63" i="63"/>
  <c r="O64" i="63"/>
  <c r="I149" i="63"/>
  <c r="I94" i="63" s="1"/>
  <c r="F24" i="63"/>
  <c r="K24" i="63"/>
  <c r="L24" i="63"/>
  <c r="M24" i="63"/>
  <c r="J24" i="63"/>
  <c r="H148" i="63"/>
  <c r="H95" i="63" s="1"/>
  <c r="D24" i="63"/>
  <c r="C24" i="63"/>
  <c r="G148" i="63"/>
  <c r="G149" i="63" s="1"/>
  <c r="G94" i="63" s="1"/>
  <c r="P76" i="63"/>
  <c r="J95" i="63"/>
  <c r="I95" i="63"/>
  <c r="F95" i="63"/>
  <c r="M95" i="63"/>
  <c r="E95" i="63"/>
  <c r="K95" i="63"/>
  <c r="C95" i="63"/>
  <c r="N95" i="63"/>
  <c r="D95" i="63"/>
  <c r="P54" i="63"/>
  <c r="K73" i="63"/>
  <c r="K74" i="63"/>
  <c r="B73" i="63"/>
  <c r="B74" i="63"/>
  <c r="B95" i="63"/>
  <c r="O73" i="63"/>
  <c r="O74" i="63"/>
  <c r="I74" i="63"/>
  <c r="I73" i="63"/>
  <c r="L73" i="63"/>
  <c r="L74" i="63"/>
  <c r="G73" i="63"/>
  <c r="G74" i="63"/>
  <c r="F73" i="63"/>
  <c r="F74" i="63"/>
  <c r="E74" i="63"/>
  <c r="E73" i="63"/>
  <c r="H73" i="63"/>
  <c r="H74" i="63"/>
  <c r="M74" i="63"/>
  <c r="M73" i="63"/>
  <c r="D73" i="63"/>
  <c r="D74" i="63"/>
  <c r="C73" i="63"/>
  <c r="C74" i="63"/>
  <c r="N73" i="63"/>
  <c r="N74" i="63"/>
  <c r="J73" i="63"/>
  <c r="J74" i="63"/>
  <c r="I25" i="63"/>
  <c r="C26" i="63"/>
  <c r="G26" i="63"/>
  <c r="H83" i="50"/>
  <c r="C83" i="50"/>
  <c r="F93" i="50"/>
  <c r="E93" i="50"/>
  <c r="B93" i="50"/>
  <c r="D93" i="50"/>
  <c r="C93" i="50"/>
  <c r="E26" i="63"/>
  <c r="L25" i="63"/>
  <c r="O26" i="63"/>
  <c r="I26" i="63"/>
  <c r="E25" i="63"/>
  <c r="E93" i="63" s="1"/>
  <c r="J26" i="63"/>
  <c r="B26" i="63"/>
  <c r="M26" i="63"/>
  <c r="H26" i="63"/>
  <c r="K26" i="63"/>
  <c r="N25" i="63"/>
  <c r="F26" i="63"/>
  <c r="D26" i="63"/>
  <c r="N26" i="63"/>
  <c r="B63" i="63"/>
  <c r="B48" i="63"/>
  <c r="B25" i="63"/>
  <c r="B61" i="66"/>
  <c r="P88" i="63"/>
  <c r="P80" i="63"/>
  <c r="P85" i="63"/>
  <c r="P84" i="63"/>
  <c r="P87" i="63"/>
  <c r="P81" i="63"/>
  <c r="P83" i="63"/>
  <c r="P82" i="63"/>
  <c r="O131" i="62"/>
  <c r="N131" i="62"/>
  <c r="M131" i="62"/>
  <c r="L131" i="62"/>
  <c r="K131" i="62"/>
  <c r="J131" i="62"/>
  <c r="I131" i="62"/>
  <c r="H131" i="62"/>
  <c r="G131" i="62"/>
  <c r="F131" i="62"/>
  <c r="E131" i="62"/>
  <c r="D131" i="62"/>
  <c r="C131" i="62"/>
  <c r="B131" i="62"/>
  <c r="O130" i="62"/>
  <c r="N130" i="62"/>
  <c r="M130" i="62"/>
  <c r="L130" i="62"/>
  <c r="K130" i="62"/>
  <c r="J130" i="62"/>
  <c r="I130" i="62"/>
  <c r="H130" i="62"/>
  <c r="G130" i="62"/>
  <c r="F130" i="62"/>
  <c r="E130" i="62"/>
  <c r="D130" i="62"/>
  <c r="C130" i="62"/>
  <c r="B130" i="62"/>
  <c r="O30" i="62"/>
  <c r="N128" i="62"/>
  <c r="M128" i="62"/>
  <c r="L128" i="62"/>
  <c r="K128" i="62"/>
  <c r="J128" i="62"/>
  <c r="I128" i="62"/>
  <c r="H128" i="62"/>
  <c r="F128" i="62"/>
  <c r="E128" i="62"/>
  <c r="D128" i="62"/>
  <c r="C128" i="62"/>
  <c r="B128" i="62"/>
  <c r="I58" i="62"/>
  <c r="E58" i="62"/>
  <c r="I57" i="62"/>
  <c r="E57" i="62"/>
  <c r="O94" i="62"/>
  <c r="N94" i="62"/>
  <c r="M94" i="62"/>
  <c r="L94" i="62"/>
  <c r="K94" i="62"/>
  <c r="J94" i="62"/>
  <c r="I94" i="62"/>
  <c r="H94" i="62"/>
  <c r="G94" i="62"/>
  <c r="F94" i="62"/>
  <c r="E94" i="62"/>
  <c r="D94" i="62"/>
  <c r="C94" i="62"/>
  <c r="B94" i="62"/>
  <c r="O93" i="62"/>
  <c r="N93" i="62"/>
  <c r="M93" i="62"/>
  <c r="L93" i="62"/>
  <c r="K93" i="62"/>
  <c r="J93" i="62"/>
  <c r="I93" i="62"/>
  <c r="H93" i="62"/>
  <c r="G93" i="62"/>
  <c r="F93" i="62"/>
  <c r="E93" i="62"/>
  <c r="D93" i="62"/>
  <c r="C93" i="62"/>
  <c r="B93" i="62"/>
  <c r="I42" i="62"/>
  <c r="H42" i="62"/>
  <c r="H32" i="62"/>
  <c r="C32" i="62"/>
  <c r="B32" i="62"/>
  <c r="O20" i="62"/>
  <c r="N20" i="62"/>
  <c r="M20" i="62"/>
  <c r="L20" i="62"/>
  <c r="K20" i="62"/>
  <c r="J20" i="62"/>
  <c r="I20" i="62"/>
  <c r="H20" i="62"/>
  <c r="G20" i="62"/>
  <c r="F20" i="62"/>
  <c r="E20" i="62"/>
  <c r="D20" i="62"/>
  <c r="C20" i="62"/>
  <c r="B20" i="62"/>
  <c r="O18" i="62"/>
  <c r="N18" i="62"/>
  <c r="M18" i="62"/>
  <c r="L18" i="62"/>
  <c r="K18" i="62"/>
  <c r="J18" i="62"/>
  <c r="I18" i="62"/>
  <c r="H18" i="62"/>
  <c r="G18" i="62"/>
  <c r="F18" i="62"/>
  <c r="E18" i="62"/>
  <c r="D18" i="62"/>
  <c r="C18" i="62"/>
  <c r="B18" i="62"/>
  <c r="I17" i="62"/>
  <c r="F17" i="62"/>
  <c r="E17" i="62"/>
  <c r="C17" i="62"/>
  <c r="B17" i="62"/>
  <c r="M16" i="62"/>
  <c r="I16" i="62"/>
  <c r="E16" i="62"/>
  <c r="O15" i="62"/>
  <c r="O90" i="62" s="1"/>
  <c r="N15" i="62"/>
  <c r="N90" i="62" s="1"/>
  <c r="M15" i="62"/>
  <c r="M90" i="62" s="1"/>
  <c r="L15" i="62"/>
  <c r="L90" i="62" s="1"/>
  <c r="K15" i="62"/>
  <c r="K90" i="62" s="1"/>
  <c r="J15" i="62"/>
  <c r="J90" i="62" s="1"/>
  <c r="I15" i="62"/>
  <c r="I90" i="62" s="1"/>
  <c r="H15" i="62"/>
  <c r="H90" i="62" s="1"/>
  <c r="G15" i="62"/>
  <c r="G90" i="62" s="1"/>
  <c r="F15" i="62"/>
  <c r="F90" i="62" s="1"/>
  <c r="E15" i="62"/>
  <c r="E90" i="62" s="1"/>
  <c r="D15" i="62"/>
  <c r="D90" i="62" s="1"/>
  <c r="C15" i="62"/>
  <c r="C90" i="62" s="1"/>
  <c r="B15" i="62"/>
  <c r="B90" i="62" s="1"/>
  <c r="O13" i="62"/>
  <c r="N13" i="62"/>
  <c r="M13" i="62"/>
  <c r="L13" i="62"/>
  <c r="K13" i="62"/>
  <c r="J13" i="62"/>
  <c r="I13" i="62"/>
  <c r="H13" i="62"/>
  <c r="G13" i="62"/>
  <c r="F13" i="62"/>
  <c r="E13" i="62"/>
  <c r="D13" i="62"/>
  <c r="C13" i="62"/>
  <c r="B13" i="62"/>
  <c r="O12" i="62"/>
  <c r="N12" i="62"/>
  <c r="M12" i="62"/>
  <c r="L12" i="62"/>
  <c r="K12" i="62"/>
  <c r="J12" i="62"/>
  <c r="I12" i="62"/>
  <c r="H12" i="62"/>
  <c r="G12" i="62"/>
  <c r="F12" i="62"/>
  <c r="E12" i="62"/>
  <c r="D12" i="62"/>
  <c r="C12" i="62"/>
  <c r="B12" i="62"/>
  <c r="O11" i="62"/>
  <c r="N11" i="62"/>
  <c r="M11" i="62"/>
  <c r="L11" i="62"/>
  <c r="K11" i="62"/>
  <c r="J11" i="62"/>
  <c r="J85" i="62" s="1"/>
  <c r="I11" i="62"/>
  <c r="H11" i="62"/>
  <c r="G11" i="62"/>
  <c r="F11" i="62"/>
  <c r="E11" i="62"/>
  <c r="D11" i="62"/>
  <c r="C11" i="62"/>
  <c r="B11" i="62"/>
  <c r="B85" i="62" s="1"/>
  <c r="O16" i="62"/>
  <c r="N14" i="62"/>
  <c r="M14" i="62"/>
  <c r="L16" i="62"/>
  <c r="K16" i="62"/>
  <c r="J14" i="62"/>
  <c r="I14" i="62"/>
  <c r="H16" i="62"/>
  <c r="H56" i="62" s="1"/>
  <c r="G16" i="62"/>
  <c r="F14" i="62"/>
  <c r="E14" i="62"/>
  <c r="D16" i="62"/>
  <c r="C16" i="62"/>
  <c r="B14" i="62"/>
  <c r="O8" i="62"/>
  <c r="N8" i="62"/>
  <c r="M8" i="62"/>
  <c r="L8" i="62"/>
  <c r="K8" i="62"/>
  <c r="J8" i="62"/>
  <c r="I8" i="62"/>
  <c r="H8" i="62"/>
  <c r="G8" i="62"/>
  <c r="F8" i="62"/>
  <c r="E8" i="62"/>
  <c r="D8" i="62"/>
  <c r="C8" i="62"/>
  <c r="B8" i="62"/>
  <c r="M98" i="62" l="1"/>
  <c r="B98" i="62"/>
  <c r="F98" i="62"/>
  <c r="J98" i="62"/>
  <c r="J68" i="62" s="1"/>
  <c r="N98" i="62"/>
  <c r="M100" i="62"/>
  <c r="M66" i="62" s="1"/>
  <c r="C85" i="62"/>
  <c r="K85" i="62"/>
  <c r="C98" i="62"/>
  <c r="K98" i="62"/>
  <c r="O98" i="62"/>
  <c r="D98" i="62"/>
  <c r="L98" i="62"/>
  <c r="E98" i="62"/>
  <c r="B87" i="62"/>
  <c r="B86" i="62"/>
  <c r="B84" i="62"/>
  <c r="N86" i="62"/>
  <c r="N84" i="62"/>
  <c r="N87" i="62"/>
  <c r="M50" i="62"/>
  <c r="G73" i="62"/>
  <c r="G85" i="62"/>
  <c r="O73" i="62"/>
  <c r="O85" i="62"/>
  <c r="C86" i="62"/>
  <c r="C84" i="62"/>
  <c r="C87" i="62"/>
  <c r="G87" i="62"/>
  <c r="G84" i="62"/>
  <c r="K86" i="62"/>
  <c r="K84" i="62"/>
  <c r="K87" i="62"/>
  <c r="O86" i="62"/>
  <c r="O84" i="62"/>
  <c r="O87" i="62"/>
  <c r="J86" i="62"/>
  <c r="J84" i="62"/>
  <c r="J87" i="62"/>
  <c r="E100" i="62"/>
  <c r="F100" i="62"/>
  <c r="J100" i="62"/>
  <c r="D73" i="62"/>
  <c r="D85" i="62"/>
  <c r="L85" i="62"/>
  <c r="D87" i="62"/>
  <c r="D86" i="62"/>
  <c r="D84" i="62"/>
  <c r="H87" i="62"/>
  <c r="L87" i="62"/>
  <c r="L86" i="62"/>
  <c r="L84" i="62"/>
  <c r="F73" i="62"/>
  <c r="F85" i="62"/>
  <c r="N73" i="62"/>
  <c r="N85" i="62"/>
  <c r="F86" i="62"/>
  <c r="F84" i="62"/>
  <c r="F87" i="62"/>
  <c r="I74" i="62"/>
  <c r="I76" i="50" s="1"/>
  <c r="I69" i="63" s="1"/>
  <c r="I58" i="64" s="1"/>
  <c r="I71" i="66" s="1"/>
  <c r="I69" i="67" s="1"/>
  <c r="I66" i="68" s="1"/>
  <c r="B100" i="62"/>
  <c r="N100" i="62"/>
  <c r="H73" i="62"/>
  <c r="E73" i="62"/>
  <c r="E85" i="62"/>
  <c r="I73" i="62"/>
  <c r="M73" i="62"/>
  <c r="M85" i="62"/>
  <c r="E86" i="62"/>
  <c r="E87" i="62"/>
  <c r="E84" i="62"/>
  <c r="I87" i="62"/>
  <c r="M86" i="62"/>
  <c r="M84" i="62"/>
  <c r="M87" i="62"/>
  <c r="C43" i="62"/>
  <c r="C54" i="62" s="1"/>
  <c r="G54" i="62"/>
  <c r="H43" i="62"/>
  <c r="H54" i="62" s="1"/>
  <c r="E43" i="62"/>
  <c r="E54" i="62" s="1"/>
  <c r="B56" i="62"/>
  <c r="B145" i="62"/>
  <c r="B143" i="62"/>
  <c r="B102" i="62" s="1"/>
  <c r="B144" i="62"/>
  <c r="J56" i="62"/>
  <c r="J143" i="62"/>
  <c r="J102" i="62" s="1"/>
  <c r="J144" i="62"/>
  <c r="J145" i="62"/>
  <c r="I89" i="62"/>
  <c r="I88" i="62"/>
  <c r="I34" i="62" s="1"/>
  <c r="C56" i="62"/>
  <c r="C145" i="62"/>
  <c r="C143" i="62"/>
  <c r="C102" i="62" s="1"/>
  <c r="C144" i="62"/>
  <c r="G143" i="62"/>
  <c r="G145" i="62" s="1"/>
  <c r="G24" i="62"/>
  <c r="K56" i="62"/>
  <c r="K145" i="62"/>
  <c r="K143" i="62"/>
  <c r="K102" i="62" s="1"/>
  <c r="K144" i="62"/>
  <c r="O56" i="62"/>
  <c r="O145" i="62"/>
  <c r="O143" i="62"/>
  <c r="O102" i="62" s="1"/>
  <c r="O24" i="62"/>
  <c r="O144" i="62"/>
  <c r="F56" i="62"/>
  <c r="F143" i="62"/>
  <c r="F102" i="62" s="1"/>
  <c r="F144" i="62"/>
  <c r="F145" i="62"/>
  <c r="N56" i="62"/>
  <c r="N143" i="62"/>
  <c r="N102" i="62" s="1"/>
  <c r="N144" i="62"/>
  <c r="N145" i="62"/>
  <c r="M89" i="62"/>
  <c r="M88" i="62"/>
  <c r="M24" i="62" s="1"/>
  <c r="J89" i="62"/>
  <c r="J88" i="62"/>
  <c r="J24" i="62" s="1"/>
  <c r="D56" i="62"/>
  <c r="D145" i="62"/>
  <c r="D143" i="62"/>
  <c r="D102" i="62" s="1"/>
  <c r="D144" i="62"/>
  <c r="H143" i="62"/>
  <c r="H86" i="62" s="1"/>
  <c r="L56" i="62"/>
  <c r="L145" i="62"/>
  <c r="L143" i="62"/>
  <c r="L102" i="62" s="1"/>
  <c r="L144" i="62"/>
  <c r="E89" i="62"/>
  <c r="E88" i="62"/>
  <c r="E24" i="62" s="1"/>
  <c r="B88" i="62"/>
  <c r="B24" i="62" s="1"/>
  <c r="B89" i="62"/>
  <c r="F89" i="62"/>
  <c r="F88" i="62"/>
  <c r="F24" i="62" s="1"/>
  <c r="N89" i="62"/>
  <c r="N88" i="62"/>
  <c r="N24" i="62" s="1"/>
  <c r="E56" i="62"/>
  <c r="E144" i="62"/>
  <c r="E145" i="62"/>
  <c r="E143" i="62"/>
  <c r="E102" i="62" s="1"/>
  <c r="I143" i="62"/>
  <c r="I24" i="62" s="1"/>
  <c r="M56" i="62"/>
  <c r="M144" i="62"/>
  <c r="M145" i="62"/>
  <c r="M143" i="62"/>
  <c r="M102" i="62" s="1"/>
  <c r="G56" i="62"/>
  <c r="I56" i="62"/>
  <c r="G95" i="63"/>
  <c r="B93" i="63"/>
  <c r="I93" i="63"/>
  <c r="I65" i="63"/>
  <c r="I63" i="63"/>
  <c r="I49" i="63"/>
  <c r="I47" i="63"/>
  <c r="I64" i="63"/>
  <c r="I62" i="63"/>
  <c r="I48" i="63"/>
  <c r="P40" i="63"/>
  <c r="C93" i="63"/>
  <c r="G65" i="63"/>
  <c r="G48" i="63"/>
  <c r="G47" i="63"/>
  <c r="G49" i="63"/>
  <c r="G98" i="63" s="1"/>
  <c r="G62" i="63"/>
  <c r="G63" i="63"/>
  <c r="G64" i="63"/>
  <c r="F93" i="63"/>
  <c r="H91" i="62"/>
  <c r="H92" i="62"/>
  <c r="H55" i="62" s="1"/>
  <c r="H24" i="63"/>
  <c r="P24" i="63" s="1"/>
  <c r="H149" i="63"/>
  <c r="H94" i="63" s="1"/>
  <c r="G125" i="62"/>
  <c r="O125" i="62"/>
  <c r="G70" i="62"/>
  <c r="G53" i="62" s="1"/>
  <c r="I43" i="62"/>
  <c r="I54" i="62" s="1"/>
  <c r="M43" i="62"/>
  <c r="M54" i="62" s="1"/>
  <c r="E55" i="62"/>
  <c r="E91" i="62"/>
  <c r="K43" i="62"/>
  <c r="K54" i="62" s="1"/>
  <c r="O43" i="62"/>
  <c r="O54" i="62" s="1"/>
  <c r="D70" i="62"/>
  <c r="D53" i="62" s="1"/>
  <c r="L43" i="62"/>
  <c r="L54" i="62" s="1"/>
  <c r="P55" i="63"/>
  <c r="I92" i="63"/>
  <c r="E98" i="63"/>
  <c r="C98" i="63"/>
  <c r="F98" i="63"/>
  <c r="J98" i="63"/>
  <c r="E92" i="63"/>
  <c r="C92" i="63"/>
  <c r="M98" i="63"/>
  <c r="O98" i="63"/>
  <c r="K98" i="63"/>
  <c r="D98" i="63"/>
  <c r="N98" i="63"/>
  <c r="L98" i="63"/>
  <c r="F92" i="63"/>
  <c r="P95" i="63"/>
  <c r="P74" i="63"/>
  <c r="P73" i="63"/>
  <c r="P83" i="50"/>
  <c r="P30" i="62"/>
  <c r="P57" i="62"/>
  <c r="E43" i="63"/>
  <c r="P25" i="63"/>
  <c r="B43" i="63"/>
  <c r="P52" i="63"/>
  <c r="C43" i="63"/>
  <c r="F43" i="63"/>
  <c r="P26" i="63"/>
  <c r="B92" i="63"/>
  <c r="I43" i="63"/>
  <c r="P32" i="62"/>
  <c r="P58" i="62"/>
  <c r="P93" i="62"/>
  <c r="P94" i="62"/>
  <c r="M34" i="62"/>
  <c r="C55" i="62"/>
  <c r="C91" i="62"/>
  <c r="G14" i="62"/>
  <c r="G100" i="62" s="1"/>
  <c r="K14" i="62"/>
  <c r="K100" i="62" s="1"/>
  <c r="D14" i="62"/>
  <c r="D100" i="62" s="1"/>
  <c r="H14" i="62"/>
  <c r="L14" i="62"/>
  <c r="L100" i="62" s="1"/>
  <c r="B16" i="62"/>
  <c r="B43" i="62" s="1"/>
  <c r="F16" i="62"/>
  <c r="F43" i="62" s="1"/>
  <c r="F54" i="62" s="1"/>
  <c r="J16" i="62"/>
  <c r="J43" i="62" s="1"/>
  <c r="J54" i="62" s="1"/>
  <c r="N16" i="62"/>
  <c r="N43" i="62" s="1"/>
  <c r="N54" i="62" s="1"/>
  <c r="C14" i="62"/>
  <c r="C100" i="62" s="1"/>
  <c r="O14" i="62"/>
  <c r="O100" i="62" s="1"/>
  <c r="P42" i="62"/>
  <c r="B26" i="62" l="1"/>
  <c r="N28" i="62"/>
  <c r="G102" i="62"/>
  <c r="I102" i="62"/>
  <c r="H102" i="62"/>
  <c r="N81" i="62"/>
  <c r="I84" i="62"/>
  <c r="I78" i="62" s="1"/>
  <c r="H84" i="62"/>
  <c r="I98" i="63"/>
  <c r="K66" i="62"/>
  <c r="K50" i="62"/>
  <c r="N50" i="62"/>
  <c r="N66" i="62"/>
  <c r="F66" i="62"/>
  <c r="F50" i="62"/>
  <c r="L50" i="62"/>
  <c r="L66" i="62"/>
  <c r="G66" i="62"/>
  <c r="G50" i="62"/>
  <c r="I86" i="62"/>
  <c r="B66" i="62"/>
  <c r="B50" i="62"/>
  <c r="E50" i="62"/>
  <c r="E66" i="62"/>
  <c r="H74" i="62"/>
  <c r="H24" i="62"/>
  <c r="H80" i="62"/>
  <c r="B80" i="62"/>
  <c r="I85" i="62"/>
  <c r="H85" i="62"/>
  <c r="C66" i="62"/>
  <c r="C50" i="62"/>
  <c r="O66" i="62"/>
  <c r="O50" i="62"/>
  <c r="D50" i="62"/>
  <c r="D66" i="62"/>
  <c r="J50" i="62"/>
  <c r="J66" i="62"/>
  <c r="G86" i="62"/>
  <c r="E67" i="62"/>
  <c r="E51" i="62"/>
  <c r="E65" i="62"/>
  <c r="E49" i="62"/>
  <c r="H70" i="62"/>
  <c r="H53" i="62" s="1"/>
  <c r="B54" i="62"/>
  <c r="N67" i="62"/>
  <c r="N51" i="62"/>
  <c r="N65" i="62"/>
  <c r="N49" i="62"/>
  <c r="I144" i="62"/>
  <c r="I98" i="62" s="1"/>
  <c r="B67" i="62"/>
  <c r="B51" i="62"/>
  <c r="B65" i="62"/>
  <c r="B49" i="62"/>
  <c r="J67" i="62"/>
  <c r="J51" i="62"/>
  <c r="J65" i="62"/>
  <c r="J49" i="62"/>
  <c r="F67" i="62"/>
  <c r="F51" i="62"/>
  <c r="F65" i="62"/>
  <c r="F49" i="62"/>
  <c r="M67" i="62"/>
  <c r="M51" i="62"/>
  <c r="M65" i="62"/>
  <c r="M49" i="62"/>
  <c r="F28" i="62"/>
  <c r="J73" i="62"/>
  <c r="H145" i="62"/>
  <c r="H100" i="62" s="1"/>
  <c r="B73" i="62"/>
  <c r="O88" i="62"/>
  <c r="O89" i="62"/>
  <c r="H88" i="62"/>
  <c r="H144" i="62" s="1"/>
  <c r="H98" i="62" s="1"/>
  <c r="H89" i="62"/>
  <c r="C88" i="62"/>
  <c r="C24" i="62" s="1"/>
  <c r="C89" i="62"/>
  <c r="C73" i="62" s="1"/>
  <c r="D88" i="62"/>
  <c r="D24" i="62" s="1"/>
  <c r="D89" i="62"/>
  <c r="K88" i="62"/>
  <c r="K24" i="62" s="1"/>
  <c r="K89" i="62"/>
  <c r="K73" i="62" s="1"/>
  <c r="F34" i="62"/>
  <c r="I145" i="62"/>
  <c r="I100" i="62" s="1"/>
  <c r="G88" i="62"/>
  <c r="G144" i="62" s="1"/>
  <c r="G98" i="62" s="1"/>
  <c r="G89" i="62"/>
  <c r="L88" i="62"/>
  <c r="L24" i="62" s="1"/>
  <c r="L89" i="62"/>
  <c r="L73" i="62" s="1"/>
  <c r="H47" i="63"/>
  <c r="H64" i="63"/>
  <c r="H48" i="63"/>
  <c r="H49" i="63"/>
  <c r="H62" i="63"/>
  <c r="H63" i="63"/>
  <c r="C70" i="62"/>
  <c r="C53" i="62" s="1"/>
  <c r="E70" i="62"/>
  <c r="E53" i="62" s="1"/>
  <c r="H65" i="63"/>
  <c r="N68" i="62"/>
  <c r="D68" i="62"/>
  <c r="B68" i="62"/>
  <c r="F68" i="62"/>
  <c r="M68" i="62"/>
  <c r="E68" i="62"/>
  <c r="F91" i="62"/>
  <c r="F55" i="62"/>
  <c r="N79" i="62"/>
  <c r="N78" i="62"/>
  <c r="F79" i="62"/>
  <c r="F78" i="62"/>
  <c r="L78" i="62"/>
  <c r="L79" i="62"/>
  <c r="D78" i="62"/>
  <c r="D79" i="62"/>
  <c r="K79" i="62"/>
  <c r="K78" i="62"/>
  <c r="O79" i="62"/>
  <c r="O78" i="62"/>
  <c r="G79" i="62"/>
  <c r="G78" i="62"/>
  <c r="J79" i="62"/>
  <c r="J78" i="62"/>
  <c r="B79" i="62"/>
  <c r="B78" i="62"/>
  <c r="M78" i="62"/>
  <c r="M79" i="62"/>
  <c r="E78" i="62"/>
  <c r="E79" i="62"/>
  <c r="C79" i="62"/>
  <c r="C78" i="62"/>
  <c r="B28" i="62"/>
  <c r="P87" i="62"/>
  <c r="P94" i="63"/>
  <c r="N34" i="62"/>
  <c r="N26" i="62"/>
  <c r="B34" i="62"/>
  <c r="F26" i="62"/>
  <c r="E38" i="62"/>
  <c r="E37" i="62"/>
  <c r="E26" i="62"/>
  <c r="E33" i="62"/>
  <c r="E31" i="62"/>
  <c r="E28" i="62"/>
  <c r="J38" i="62"/>
  <c r="J33" i="62"/>
  <c r="J31" i="62"/>
  <c r="J37" i="62"/>
  <c r="E34" i="62"/>
  <c r="I38" i="62"/>
  <c r="I37" i="62"/>
  <c r="I28" i="62"/>
  <c r="I33" i="62"/>
  <c r="I31" i="62"/>
  <c r="I26" i="62"/>
  <c r="F38" i="62"/>
  <c r="F37" i="62"/>
  <c r="F33" i="62"/>
  <c r="F31" i="62"/>
  <c r="B91" i="62"/>
  <c r="B55" i="62"/>
  <c r="J34" i="62"/>
  <c r="B33" i="62"/>
  <c r="B31" i="62"/>
  <c r="B38" i="62"/>
  <c r="B37" i="62"/>
  <c r="J28" i="62"/>
  <c r="J26" i="62"/>
  <c r="N38" i="62"/>
  <c r="N37" i="62"/>
  <c r="N33" i="62"/>
  <c r="N31" i="62"/>
  <c r="M38" i="62"/>
  <c r="M37" i="62"/>
  <c r="M26" i="62"/>
  <c r="M33" i="62"/>
  <c r="M31" i="62"/>
  <c r="M28" i="62"/>
  <c r="P85" i="62" l="1"/>
  <c r="M96" i="62"/>
  <c r="I79" i="62"/>
  <c r="P86" i="62"/>
  <c r="P84" i="62"/>
  <c r="N96" i="62"/>
  <c r="H78" i="62"/>
  <c r="P80" i="62"/>
  <c r="F96" i="62"/>
  <c r="B96" i="62"/>
  <c r="I96" i="62"/>
  <c r="E96" i="62"/>
  <c r="H79" i="62"/>
  <c r="C81" i="62"/>
  <c r="H66" i="62"/>
  <c r="H50" i="62"/>
  <c r="P100" i="62"/>
  <c r="I50" i="62"/>
  <c r="I66" i="62"/>
  <c r="H81" i="62"/>
  <c r="H76" i="50"/>
  <c r="H69" i="63" s="1"/>
  <c r="H58" i="64" s="1"/>
  <c r="H71" i="66" s="1"/>
  <c r="H69" i="67" s="1"/>
  <c r="H66" i="68" s="1"/>
  <c r="G67" i="62"/>
  <c r="G51" i="62"/>
  <c r="G65" i="62"/>
  <c r="G49" i="62"/>
  <c r="D65" i="62"/>
  <c r="D49" i="62"/>
  <c r="D67" i="62"/>
  <c r="D51" i="62"/>
  <c r="L65" i="62"/>
  <c r="L49" i="62"/>
  <c r="L67" i="62"/>
  <c r="L51" i="62"/>
  <c r="K67" i="62"/>
  <c r="K51" i="62"/>
  <c r="K65" i="62"/>
  <c r="K49" i="62"/>
  <c r="L68" i="62"/>
  <c r="O67" i="62"/>
  <c r="O51" i="62"/>
  <c r="O65" i="62"/>
  <c r="O49" i="62"/>
  <c r="O68" i="62"/>
  <c r="C67" i="62"/>
  <c r="C51" i="62"/>
  <c r="C65" i="62"/>
  <c r="C49" i="62"/>
  <c r="C68" i="62"/>
  <c r="K68" i="62"/>
  <c r="F70" i="62"/>
  <c r="F53" i="62" s="1"/>
  <c r="B70" i="62"/>
  <c r="H98" i="63"/>
  <c r="G68" i="62"/>
  <c r="P78" i="62"/>
  <c r="P55" i="62"/>
  <c r="P64" i="63"/>
  <c r="P48" i="63"/>
  <c r="P49" i="63"/>
  <c r="P62" i="63"/>
  <c r="B98" i="63"/>
  <c r="P47" i="63"/>
  <c r="P63" i="63"/>
  <c r="N45" i="62"/>
  <c r="E97" i="62"/>
  <c r="E45" i="62"/>
  <c r="N97" i="62"/>
  <c r="L38" i="62"/>
  <c r="L37" i="62"/>
  <c r="L28" i="62"/>
  <c r="L26" i="62"/>
  <c r="L33" i="62"/>
  <c r="L31" i="62"/>
  <c r="L34" i="62"/>
  <c r="H38" i="62"/>
  <c r="H37" i="62"/>
  <c r="H28" i="62"/>
  <c r="H26" i="62"/>
  <c r="H34" i="62"/>
  <c r="H33" i="62"/>
  <c r="H31" i="62"/>
  <c r="C33" i="62"/>
  <c r="C31" i="62"/>
  <c r="C38" i="62"/>
  <c r="C37" i="62"/>
  <c r="C26" i="62"/>
  <c r="C28" i="62"/>
  <c r="C34" i="62"/>
  <c r="O33" i="62"/>
  <c r="O31" i="62"/>
  <c r="O38" i="62"/>
  <c r="O37" i="62"/>
  <c r="O28" i="62"/>
  <c r="O34" i="62"/>
  <c r="O26" i="62"/>
  <c r="P92" i="62"/>
  <c r="P56" i="62"/>
  <c r="M97" i="62"/>
  <c r="M45" i="62"/>
  <c r="K33" i="62"/>
  <c r="K31" i="62"/>
  <c r="K37" i="62"/>
  <c r="K38" i="62"/>
  <c r="K34" i="62"/>
  <c r="K26" i="62"/>
  <c r="K28" i="62"/>
  <c r="D38" i="62"/>
  <c r="D37" i="62"/>
  <c r="D28" i="62"/>
  <c r="D26" i="62"/>
  <c r="D34" i="62"/>
  <c r="D33" i="62"/>
  <c r="D31" i="62"/>
  <c r="P91" i="62"/>
  <c r="G33" i="62"/>
  <c r="G31" i="62"/>
  <c r="G38" i="62"/>
  <c r="G37" i="62"/>
  <c r="G34" i="62"/>
  <c r="G26" i="62"/>
  <c r="G28" i="62"/>
  <c r="B53" i="62" l="1"/>
  <c r="P70" i="62"/>
  <c r="P79" i="62"/>
  <c r="K96" i="62"/>
  <c r="E109" i="62"/>
  <c r="O96" i="62"/>
  <c r="L96" i="62"/>
  <c r="D96" i="62"/>
  <c r="C96" i="62"/>
  <c r="H96" i="62"/>
  <c r="G96" i="62"/>
  <c r="H65" i="62"/>
  <c r="H49" i="62"/>
  <c r="H67" i="62"/>
  <c r="H51" i="62"/>
  <c r="I67" i="62"/>
  <c r="I51" i="62"/>
  <c r="I65" i="62"/>
  <c r="I49" i="62"/>
  <c r="I68" i="62"/>
  <c r="P102" i="62"/>
  <c r="I45" i="62"/>
  <c r="I97" i="62"/>
  <c r="G106" i="62"/>
  <c r="P98" i="63"/>
  <c r="P33" i="62"/>
  <c r="P31" i="62"/>
  <c r="P38" i="62"/>
  <c r="P34" i="62"/>
  <c r="P37" i="62"/>
  <c r="O97" i="62"/>
  <c r="O45" i="62"/>
  <c r="P28" i="62"/>
  <c r="L97" i="62"/>
  <c r="L45" i="62"/>
  <c r="K97" i="62"/>
  <c r="K45" i="62"/>
  <c r="P26" i="62"/>
  <c r="C97" i="62"/>
  <c r="C45" i="62"/>
  <c r="P24" i="62"/>
  <c r="F45" i="62"/>
  <c r="F97" i="62"/>
  <c r="I109" i="62" l="1"/>
  <c r="I52" i="62" s="1"/>
  <c r="I60" i="62" s="1"/>
  <c r="I62" i="62" s="1"/>
  <c r="F109" i="62"/>
  <c r="O109" i="62"/>
  <c r="I106" i="62"/>
  <c r="I107" i="62" s="1"/>
  <c r="I108" i="62" s="1"/>
  <c r="H68" i="62"/>
  <c r="P68" i="62" s="1"/>
  <c r="F106" i="62"/>
  <c r="F107" i="62" s="1"/>
  <c r="F108" i="62" s="1"/>
  <c r="B106" i="62"/>
  <c r="N106" i="62"/>
  <c r="N107" i="62" s="1"/>
  <c r="E106" i="62"/>
  <c r="E107" i="62" s="1"/>
  <c r="E108" i="62" s="1"/>
  <c r="P53" i="62"/>
  <c r="M106" i="62"/>
  <c r="M107" i="62" s="1"/>
  <c r="N108" i="62" l="1"/>
  <c r="N109" i="62" s="1"/>
  <c r="M108" i="62"/>
  <c r="M109" i="62" s="1"/>
  <c r="H106" i="62"/>
  <c r="F52" i="62"/>
  <c r="F60" i="62" s="1"/>
  <c r="F62" i="62" s="1"/>
  <c r="L106" i="62"/>
  <c r="L107" i="62" s="1"/>
  <c r="K106" i="62"/>
  <c r="K107" i="62" s="1"/>
  <c r="B97" i="62"/>
  <c r="B107" i="62" s="1"/>
  <c r="C106" i="62"/>
  <c r="C107" i="62" s="1"/>
  <c r="O106" i="62"/>
  <c r="O107" i="62" s="1"/>
  <c r="O108" i="62" s="1"/>
  <c r="B45" i="62"/>
  <c r="D106" i="62"/>
  <c r="O15" i="25"/>
  <c r="O86" i="25" s="1"/>
  <c r="N15" i="25"/>
  <c r="N86" i="25" s="1"/>
  <c r="M15" i="25"/>
  <c r="M86" i="25" s="1"/>
  <c r="L15" i="25"/>
  <c r="L86" i="25" s="1"/>
  <c r="K15" i="25"/>
  <c r="K86" i="25" s="1"/>
  <c r="J15" i="25"/>
  <c r="J86" i="25" s="1"/>
  <c r="I15" i="25"/>
  <c r="I86" i="25" s="1"/>
  <c r="H15" i="25"/>
  <c r="H86" i="25" s="1"/>
  <c r="G15" i="25"/>
  <c r="G86" i="25" s="1"/>
  <c r="F15" i="25"/>
  <c r="F86" i="25" s="1"/>
  <c r="E15" i="25"/>
  <c r="E86" i="25" s="1"/>
  <c r="D15" i="25"/>
  <c r="D86" i="25" s="1"/>
  <c r="C15" i="25"/>
  <c r="C86" i="25" s="1"/>
  <c r="B15" i="25"/>
  <c r="B86" i="25" s="1"/>
  <c r="I90" i="25"/>
  <c r="J90" i="25"/>
  <c r="K90" i="25"/>
  <c r="L90" i="25"/>
  <c r="M90" i="25"/>
  <c r="N90" i="25"/>
  <c r="O90" i="25"/>
  <c r="B90" i="25"/>
  <c r="C90" i="25"/>
  <c r="D90" i="25"/>
  <c r="E90" i="25"/>
  <c r="F90" i="25"/>
  <c r="G90" i="25"/>
  <c r="H90" i="25"/>
  <c r="I89" i="25"/>
  <c r="J89" i="25"/>
  <c r="K89" i="25"/>
  <c r="L89" i="25"/>
  <c r="M89" i="25"/>
  <c r="N89" i="25"/>
  <c r="O89" i="25"/>
  <c r="B89" i="25"/>
  <c r="C89" i="25"/>
  <c r="D89" i="25"/>
  <c r="E89" i="25"/>
  <c r="F89" i="25"/>
  <c r="G89" i="25"/>
  <c r="H89" i="25"/>
  <c r="C108" i="62" l="1"/>
  <c r="C109" i="62" s="1"/>
  <c r="K108" i="62"/>
  <c r="K109" i="62" s="1"/>
  <c r="L108" i="62"/>
  <c r="L109" i="62" s="1"/>
  <c r="P89" i="25"/>
  <c r="P90" i="25"/>
  <c r="P86" i="25"/>
  <c r="N52" i="62"/>
  <c r="N60" i="62" s="1"/>
  <c r="N62" i="62" s="1"/>
  <c r="M52" i="62"/>
  <c r="M60" i="62" s="1"/>
  <c r="M62" i="62" s="1"/>
  <c r="E52" i="62"/>
  <c r="E60" i="62" s="1"/>
  <c r="E62" i="62" s="1"/>
  <c r="C124" i="25"/>
  <c r="D124" i="25"/>
  <c r="E124" i="25"/>
  <c r="F124" i="25"/>
  <c r="G124" i="25"/>
  <c r="H124" i="25"/>
  <c r="I124" i="25"/>
  <c r="J124" i="25"/>
  <c r="K124" i="25"/>
  <c r="L124" i="25"/>
  <c r="M124" i="25"/>
  <c r="N124" i="25"/>
  <c r="O124" i="25"/>
  <c r="B124" i="25"/>
  <c r="C123" i="25"/>
  <c r="D123" i="25"/>
  <c r="E123" i="25"/>
  <c r="F123" i="25"/>
  <c r="G123" i="25"/>
  <c r="H123" i="25"/>
  <c r="I123" i="25"/>
  <c r="J123" i="25"/>
  <c r="K123" i="25"/>
  <c r="L123" i="25"/>
  <c r="M123" i="25"/>
  <c r="N123" i="25"/>
  <c r="O123" i="25"/>
  <c r="B123" i="25"/>
  <c r="C121" i="25"/>
  <c r="D121" i="25"/>
  <c r="E121" i="25"/>
  <c r="F121" i="25"/>
  <c r="H121" i="25"/>
  <c r="I121" i="25"/>
  <c r="J121" i="25"/>
  <c r="K121" i="25"/>
  <c r="L121" i="25"/>
  <c r="M121" i="25"/>
  <c r="N121" i="25"/>
  <c r="P27" i="25"/>
  <c r="B121" i="25"/>
  <c r="B108" i="62" l="1"/>
  <c r="B109" i="62" s="1"/>
  <c r="L52" i="62"/>
  <c r="L60" i="62" s="1"/>
  <c r="L62" i="62" s="1"/>
  <c r="O52" i="62"/>
  <c r="O60" i="62" s="1"/>
  <c r="O62" i="62" s="1"/>
  <c r="K52" i="62"/>
  <c r="K60" i="62" s="1"/>
  <c r="K62" i="62" s="1"/>
  <c r="C52" i="62"/>
  <c r="C60" i="62" s="1"/>
  <c r="C62" i="62" s="1"/>
  <c r="I97" i="50"/>
  <c r="H97" i="50"/>
  <c r="I96" i="50"/>
  <c r="H96" i="50"/>
  <c r="P97" i="50" l="1"/>
  <c r="P96" i="50"/>
  <c r="B52" i="62" l="1"/>
  <c r="B60" i="62" l="1"/>
  <c r="B62" i="62" l="1"/>
  <c r="H62" i="50" l="1"/>
  <c r="G61" i="50"/>
  <c r="E61" i="50"/>
  <c r="G60" i="50"/>
  <c r="B60" i="50"/>
  <c r="I59" i="50"/>
  <c r="E59" i="50"/>
  <c r="H58" i="50"/>
  <c r="D58" i="50"/>
  <c r="G57" i="50"/>
  <c r="C57" i="50"/>
  <c r="I37" i="50"/>
  <c r="D37" i="50"/>
  <c r="F56" i="50"/>
  <c r="E56" i="50"/>
  <c r="B31" i="50"/>
  <c r="H31" i="50"/>
  <c r="I30" i="50"/>
  <c r="H30" i="50"/>
  <c r="I29" i="50"/>
  <c r="H29" i="50"/>
  <c r="P57" i="50" l="1"/>
  <c r="P59" i="50"/>
  <c r="P61" i="50"/>
  <c r="P58" i="50"/>
  <c r="P62" i="50"/>
  <c r="P56" i="50"/>
  <c r="P60" i="50"/>
  <c r="J34" i="50" l="1"/>
  <c r="H34" i="50"/>
  <c r="I33" i="50" l="1"/>
  <c r="P33" i="50" s="1"/>
  <c r="F32" i="50"/>
  <c r="C32" i="50"/>
  <c r="G28" i="50"/>
  <c r="P34" i="50"/>
  <c r="E28" i="50"/>
  <c r="P32" i="50" l="1"/>
  <c r="I55" i="25" l="1"/>
  <c r="I54" i="25"/>
  <c r="P39" i="25" l="1"/>
  <c r="P93" i="50"/>
  <c r="O20" i="50"/>
  <c r="N20" i="50"/>
  <c r="M20" i="50"/>
  <c r="L20" i="50"/>
  <c r="K20" i="50"/>
  <c r="J20" i="50"/>
  <c r="I20" i="50"/>
  <c r="H20" i="50"/>
  <c r="G20" i="50"/>
  <c r="F20" i="50"/>
  <c r="E20" i="50"/>
  <c r="D20" i="50"/>
  <c r="C20" i="50"/>
  <c r="B20" i="50"/>
  <c r="O18" i="50"/>
  <c r="N18" i="50"/>
  <c r="M18" i="50"/>
  <c r="L18" i="50"/>
  <c r="K18" i="50"/>
  <c r="J18" i="50"/>
  <c r="I18" i="50"/>
  <c r="H18" i="50"/>
  <c r="G18" i="50"/>
  <c r="F18" i="50"/>
  <c r="E18" i="50"/>
  <c r="D18" i="50"/>
  <c r="C18" i="50"/>
  <c r="B18" i="50"/>
  <c r="I17" i="50"/>
  <c r="F17" i="50"/>
  <c r="E17" i="50"/>
  <c r="C17" i="50"/>
  <c r="B17" i="50"/>
  <c r="O16" i="50"/>
  <c r="K16" i="50"/>
  <c r="G16" i="50"/>
  <c r="C16" i="50"/>
  <c r="O14" i="50"/>
  <c r="O92" i="50" s="1"/>
  <c r="K14" i="50"/>
  <c r="K92" i="50" s="1"/>
  <c r="G14" i="50"/>
  <c r="G92" i="50" s="1"/>
  <c r="C14" i="50"/>
  <c r="C92" i="50" s="1"/>
  <c r="O13" i="50"/>
  <c r="N13" i="50"/>
  <c r="M13" i="50"/>
  <c r="L13" i="50"/>
  <c r="K13" i="50"/>
  <c r="J13" i="50"/>
  <c r="I13" i="50"/>
  <c r="H13" i="50"/>
  <c r="G13" i="50"/>
  <c r="F13" i="50"/>
  <c r="E13" i="50"/>
  <c r="D13" i="50"/>
  <c r="C13" i="50"/>
  <c r="B13" i="50"/>
  <c r="O12" i="50"/>
  <c r="N12" i="50"/>
  <c r="M12" i="50"/>
  <c r="L12" i="50"/>
  <c r="K12" i="50"/>
  <c r="J12" i="50"/>
  <c r="I12" i="50"/>
  <c r="H12" i="50"/>
  <c r="G12" i="50"/>
  <c r="F12" i="50"/>
  <c r="E12" i="50"/>
  <c r="D12" i="50"/>
  <c r="C12" i="50"/>
  <c r="B12" i="50"/>
  <c r="O11" i="50"/>
  <c r="O124" i="50" s="1"/>
  <c r="N11" i="50"/>
  <c r="M11" i="50"/>
  <c r="L11" i="50"/>
  <c r="K11" i="50"/>
  <c r="J11" i="50"/>
  <c r="I11" i="50"/>
  <c r="H11" i="50"/>
  <c r="G11" i="50"/>
  <c r="G124" i="50" s="1"/>
  <c r="F11" i="50"/>
  <c r="E11" i="50"/>
  <c r="D11" i="50"/>
  <c r="C11" i="50"/>
  <c r="B11" i="50"/>
  <c r="N16" i="50"/>
  <c r="M16" i="50"/>
  <c r="J16" i="50"/>
  <c r="I16" i="50"/>
  <c r="F16" i="50"/>
  <c r="E16" i="50"/>
  <c r="B16" i="50"/>
  <c r="O8" i="50"/>
  <c r="N8" i="50"/>
  <c r="M8" i="50"/>
  <c r="L8" i="50"/>
  <c r="K8" i="50"/>
  <c r="J8" i="50"/>
  <c r="I8" i="50"/>
  <c r="H8" i="50"/>
  <c r="G8" i="50"/>
  <c r="F8" i="50"/>
  <c r="E8" i="50"/>
  <c r="D8" i="50"/>
  <c r="C8" i="50"/>
  <c r="B8" i="50"/>
  <c r="E54" i="25"/>
  <c r="P54" i="25" s="1"/>
  <c r="E55" i="25"/>
  <c r="P55" i="25" s="1"/>
  <c r="D142" i="50" l="1"/>
  <c r="D55" i="50"/>
  <c r="L142" i="50"/>
  <c r="L55" i="50"/>
  <c r="E142" i="50"/>
  <c r="E55" i="50"/>
  <c r="I55" i="50"/>
  <c r="M142" i="50"/>
  <c r="M55" i="50"/>
  <c r="B142" i="50"/>
  <c r="B55" i="50"/>
  <c r="F142" i="50"/>
  <c r="F55" i="50"/>
  <c r="J142" i="50"/>
  <c r="J55" i="50"/>
  <c r="N142" i="50"/>
  <c r="N55" i="50"/>
  <c r="C142" i="50"/>
  <c r="C55" i="50"/>
  <c r="G55" i="50"/>
  <c r="K142" i="50"/>
  <c r="K55" i="50"/>
  <c r="O142" i="50"/>
  <c r="O55" i="50"/>
  <c r="H95" i="50"/>
  <c r="H54" i="50" s="1"/>
  <c r="H94" i="50"/>
  <c r="H41" i="50"/>
  <c r="D141" i="50"/>
  <c r="D102" i="50" s="1"/>
  <c r="L141" i="50"/>
  <c r="E141" i="50"/>
  <c r="M141" i="50"/>
  <c r="M102" i="50" s="1"/>
  <c r="B141" i="50"/>
  <c r="B102" i="50" s="1"/>
  <c r="F141" i="50"/>
  <c r="J141" i="50"/>
  <c r="N141" i="50"/>
  <c r="C141" i="50"/>
  <c r="C102" i="50" s="1"/>
  <c r="G24" i="50"/>
  <c r="K141" i="50"/>
  <c r="O24" i="50"/>
  <c r="O141" i="50"/>
  <c r="O102" i="50" s="1"/>
  <c r="D90" i="50"/>
  <c r="D89" i="50"/>
  <c r="D88" i="50"/>
  <c r="D87" i="50"/>
  <c r="H90" i="50"/>
  <c r="H87" i="50"/>
  <c r="H89" i="50"/>
  <c r="H88" i="50"/>
  <c r="L90" i="50"/>
  <c r="L87" i="50"/>
  <c r="L88" i="50"/>
  <c r="L89" i="50"/>
  <c r="E87" i="50"/>
  <c r="E89" i="50"/>
  <c r="E90" i="50"/>
  <c r="E88" i="50"/>
  <c r="I87" i="50"/>
  <c r="I89" i="50"/>
  <c r="I90" i="50"/>
  <c r="I88" i="50"/>
  <c r="M87" i="50"/>
  <c r="M89" i="50"/>
  <c r="M90" i="50"/>
  <c r="M88" i="50"/>
  <c r="B87" i="50"/>
  <c r="F88" i="50"/>
  <c r="F89" i="50"/>
  <c r="F87" i="50"/>
  <c r="F90" i="50"/>
  <c r="J88" i="50"/>
  <c r="J87" i="50"/>
  <c r="J89" i="50"/>
  <c r="J90" i="50"/>
  <c r="N88" i="50"/>
  <c r="N87" i="50"/>
  <c r="N89" i="50"/>
  <c r="N90" i="50"/>
  <c r="C90" i="50"/>
  <c r="C88" i="50"/>
  <c r="C87" i="50"/>
  <c r="C89" i="50"/>
  <c r="G88" i="50"/>
  <c r="G90" i="50"/>
  <c r="G87" i="50"/>
  <c r="G89" i="50"/>
  <c r="K88" i="50"/>
  <c r="K87" i="50"/>
  <c r="K89" i="50"/>
  <c r="K90" i="50"/>
  <c r="O90" i="50"/>
  <c r="O88" i="50"/>
  <c r="O87" i="50"/>
  <c r="O89" i="50"/>
  <c r="B84" i="50"/>
  <c r="K84" i="50"/>
  <c r="E54" i="50"/>
  <c r="E94" i="50"/>
  <c r="E42" i="50"/>
  <c r="E53" i="50" s="1"/>
  <c r="I42" i="50"/>
  <c r="I53" i="50" s="1"/>
  <c r="L102" i="50"/>
  <c r="F54" i="50"/>
  <c r="F94" i="50"/>
  <c r="G54" i="50"/>
  <c r="G41" i="50"/>
  <c r="G52" i="50" s="1"/>
  <c r="B42" i="50"/>
  <c r="B53" i="50" s="1"/>
  <c r="F102" i="50"/>
  <c r="F42" i="50"/>
  <c r="F53" i="50" s="1"/>
  <c r="C42" i="50"/>
  <c r="C53" i="50" s="1"/>
  <c r="K101" i="50"/>
  <c r="O101" i="50"/>
  <c r="C101" i="50"/>
  <c r="O91" i="50"/>
  <c r="O26" i="50" s="1"/>
  <c r="G91" i="50"/>
  <c r="G26" i="50" s="1"/>
  <c r="K91" i="50"/>
  <c r="K26" i="50" s="1"/>
  <c r="B90" i="50"/>
  <c r="B89" i="50"/>
  <c r="C91" i="50"/>
  <c r="C26" i="50" s="1"/>
  <c r="B88" i="50"/>
  <c r="P31" i="50"/>
  <c r="D16" i="50"/>
  <c r="D14" i="50"/>
  <c r="D92" i="50" s="1"/>
  <c r="H16" i="50"/>
  <c r="H55" i="50" s="1"/>
  <c r="H14" i="50"/>
  <c r="H92" i="50" s="1"/>
  <c r="L16" i="50"/>
  <c r="L14" i="50"/>
  <c r="L92" i="50" s="1"/>
  <c r="C54" i="50"/>
  <c r="C94" i="50"/>
  <c r="B94" i="50"/>
  <c r="B54" i="50"/>
  <c r="E14" i="50"/>
  <c r="E92" i="50" s="1"/>
  <c r="I14" i="50"/>
  <c r="I92" i="50" s="1"/>
  <c r="M14" i="50"/>
  <c r="M92" i="50" s="1"/>
  <c r="B14" i="50"/>
  <c r="B92" i="50" s="1"/>
  <c r="F14" i="50"/>
  <c r="F92" i="50" s="1"/>
  <c r="J14" i="50"/>
  <c r="J92" i="50" s="1"/>
  <c r="N14" i="50"/>
  <c r="N92" i="50" s="1"/>
  <c r="H52" i="50" l="1"/>
  <c r="K71" i="50"/>
  <c r="K69" i="50"/>
  <c r="K70" i="50"/>
  <c r="C71" i="50"/>
  <c r="C69" i="50"/>
  <c r="C70" i="50"/>
  <c r="O71" i="50"/>
  <c r="O69" i="50"/>
  <c r="O70" i="50"/>
  <c r="K50" i="50"/>
  <c r="K49" i="50"/>
  <c r="K48" i="50"/>
  <c r="F41" i="50"/>
  <c r="C41" i="50"/>
  <c r="E41" i="50"/>
  <c r="E52" i="50" s="1"/>
  <c r="B41" i="50"/>
  <c r="B52" i="50" s="1"/>
  <c r="C72" i="50"/>
  <c r="C50" i="50"/>
  <c r="C49" i="50"/>
  <c r="C48" i="50"/>
  <c r="O72" i="50"/>
  <c r="O50" i="50"/>
  <c r="O49" i="50"/>
  <c r="O48" i="50"/>
  <c r="G141" i="50"/>
  <c r="G142" i="50" s="1"/>
  <c r="G101" i="50" s="1"/>
  <c r="K72" i="50"/>
  <c r="K24" i="50"/>
  <c r="C24" i="50"/>
  <c r="E102" i="50"/>
  <c r="K102" i="50"/>
  <c r="N102" i="50"/>
  <c r="J102" i="50"/>
  <c r="K80" i="50"/>
  <c r="K81" i="50"/>
  <c r="C80" i="50"/>
  <c r="C81" i="50"/>
  <c r="F80" i="50"/>
  <c r="F81" i="50"/>
  <c r="E81" i="50"/>
  <c r="E80" i="50"/>
  <c r="J81" i="50"/>
  <c r="J80" i="50"/>
  <c r="M81" i="50"/>
  <c r="M80" i="50"/>
  <c r="L80" i="50"/>
  <c r="L81" i="50"/>
  <c r="D80" i="50"/>
  <c r="D81" i="50"/>
  <c r="O81" i="50"/>
  <c r="O80" i="50"/>
  <c r="H80" i="50"/>
  <c r="H81" i="50"/>
  <c r="I81" i="50"/>
  <c r="I80" i="50"/>
  <c r="G81" i="50"/>
  <c r="G80" i="50"/>
  <c r="N80" i="50"/>
  <c r="N81" i="50"/>
  <c r="B81" i="50"/>
  <c r="B80" i="50"/>
  <c r="G25" i="50"/>
  <c r="C25" i="50"/>
  <c r="F101" i="50"/>
  <c r="M101" i="50"/>
  <c r="L101" i="50"/>
  <c r="D101" i="50"/>
  <c r="K25" i="50"/>
  <c r="O25" i="50"/>
  <c r="B101" i="50"/>
  <c r="N101" i="50"/>
  <c r="E101" i="50"/>
  <c r="J101" i="50"/>
  <c r="P90" i="50"/>
  <c r="H91" i="50"/>
  <c r="H141" i="50" s="1"/>
  <c r="P89" i="50"/>
  <c r="I91" i="50"/>
  <c r="I141" i="50" s="1"/>
  <c r="I142" i="50" s="1"/>
  <c r="I101" i="50" s="1"/>
  <c r="M91" i="50"/>
  <c r="M24" i="50" s="1"/>
  <c r="B91" i="50"/>
  <c r="B24" i="50" s="1"/>
  <c r="N91" i="50"/>
  <c r="N24" i="50" s="1"/>
  <c r="E91" i="50"/>
  <c r="E24" i="50" s="1"/>
  <c r="L91" i="50"/>
  <c r="L24" i="50" s="1"/>
  <c r="D91" i="50"/>
  <c r="D24" i="50" s="1"/>
  <c r="F91" i="50"/>
  <c r="F24" i="50" s="1"/>
  <c r="J91" i="50"/>
  <c r="J24" i="50" s="1"/>
  <c r="P88" i="50"/>
  <c r="P27" i="50"/>
  <c r="P87" i="50"/>
  <c r="P54" i="50"/>
  <c r="P94" i="50"/>
  <c r="F52" i="50" l="1"/>
  <c r="F100" i="50"/>
  <c r="C52" i="50"/>
  <c r="C100" i="50"/>
  <c r="J69" i="50"/>
  <c r="J70" i="50"/>
  <c r="J71" i="50"/>
  <c r="E69" i="50"/>
  <c r="E70" i="50"/>
  <c r="E71" i="50"/>
  <c r="F69" i="50"/>
  <c r="F70" i="50"/>
  <c r="F71" i="50"/>
  <c r="M69" i="50"/>
  <c r="M70" i="50"/>
  <c r="M71" i="50"/>
  <c r="N69" i="50"/>
  <c r="N70" i="50"/>
  <c r="N71" i="50"/>
  <c r="D70" i="50"/>
  <c r="D71" i="50"/>
  <c r="D69" i="50"/>
  <c r="I69" i="50"/>
  <c r="I70" i="50"/>
  <c r="I71" i="50"/>
  <c r="B71" i="50"/>
  <c r="B69" i="50"/>
  <c r="L70" i="50"/>
  <c r="L71" i="50"/>
  <c r="L69" i="50"/>
  <c r="G71" i="50"/>
  <c r="G69" i="50"/>
  <c r="G70" i="50"/>
  <c r="E48" i="50"/>
  <c r="E49" i="50"/>
  <c r="E50" i="50"/>
  <c r="F48" i="50"/>
  <c r="F50" i="50"/>
  <c r="F49" i="50"/>
  <c r="G102" i="50"/>
  <c r="I48" i="50"/>
  <c r="I50" i="50"/>
  <c r="I49" i="50"/>
  <c r="N50" i="50"/>
  <c r="N49" i="50"/>
  <c r="N48" i="50"/>
  <c r="D49" i="50"/>
  <c r="D50" i="50"/>
  <c r="D48" i="50"/>
  <c r="G50" i="50"/>
  <c r="G49" i="50"/>
  <c r="G48" i="50"/>
  <c r="B48" i="50"/>
  <c r="B50" i="50"/>
  <c r="L49" i="50"/>
  <c r="L48" i="50"/>
  <c r="L50" i="50"/>
  <c r="J50" i="50"/>
  <c r="J48" i="50"/>
  <c r="J49" i="50"/>
  <c r="M48" i="50"/>
  <c r="M49" i="50"/>
  <c r="M50" i="50"/>
  <c r="G72" i="50"/>
  <c r="H24" i="50"/>
  <c r="H142" i="50"/>
  <c r="H101" i="50" s="1"/>
  <c r="M72" i="50"/>
  <c r="I24" i="50"/>
  <c r="I102" i="50"/>
  <c r="E72" i="50"/>
  <c r="F72" i="50"/>
  <c r="I72" i="50"/>
  <c r="N72" i="50"/>
  <c r="D72" i="50"/>
  <c r="H102" i="50"/>
  <c r="J72" i="50"/>
  <c r="B72" i="50"/>
  <c r="L72" i="50"/>
  <c r="P80" i="50"/>
  <c r="P81" i="50"/>
  <c r="B49" i="50"/>
  <c r="F25" i="50"/>
  <c r="F26" i="50"/>
  <c r="I25" i="50"/>
  <c r="I26" i="50"/>
  <c r="D25" i="50"/>
  <c r="D26" i="50"/>
  <c r="J25" i="50"/>
  <c r="J26" i="50"/>
  <c r="E25" i="50"/>
  <c r="E26" i="50"/>
  <c r="H25" i="50"/>
  <c r="H26" i="50"/>
  <c r="N25" i="50"/>
  <c r="N26" i="50"/>
  <c r="L25" i="50"/>
  <c r="L26" i="50"/>
  <c r="M25" i="50"/>
  <c r="M26" i="50"/>
  <c r="B25" i="50"/>
  <c r="B26" i="50"/>
  <c r="C44" i="50"/>
  <c r="P52" i="50"/>
  <c r="C99" i="50"/>
  <c r="P92" i="50"/>
  <c r="P55" i="50"/>
  <c r="P41" i="50"/>
  <c r="P91" i="50"/>
  <c r="P95" i="50"/>
  <c r="H70" i="50" l="1"/>
  <c r="H71" i="50"/>
  <c r="H69" i="50"/>
  <c r="H72" i="50"/>
  <c r="P72" i="50" s="1"/>
  <c r="H49" i="50"/>
  <c r="H48" i="50"/>
  <c r="H50" i="50"/>
  <c r="E44" i="50"/>
  <c r="B44" i="50"/>
  <c r="F44" i="50"/>
  <c r="I44" i="50"/>
  <c r="P30" i="50"/>
  <c r="P26" i="50"/>
  <c r="P29" i="50"/>
  <c r="E99" i="50"/>
  <c r="P37" i="50"/>
  <c r="F99" i="50"/>
  <c r="I99" i="50"/>
  <c r="B99" i="50"/>
  <c r="P24" i="50"/>
  <c r="P25" i="50"/>
  <c r="P28" i="50"/>
  <c r="B70" i="50" l="1"/>
  <c r="K105" i="50"/>
  <c r="O105" i="50"/>
  <c r="G105" i="50"/>
  <c r="C105" i="50"/>
  <c r="P102" i="50"/>
  <c r="P101" i="50"/>
  <c r="J105" i="50" l="1"/>
  <c r="H105" i="50"/>
  <c r="I105" i="50"/>
  <c r="M105" i="50"/>
  <c r="N105" i="50"/>
  <c r="L105" i="50"/>
  <c r="E105" i="50"/>
  <c r="B105" i="50"/>
  <c r="D105" i="50"/>
  <c r="F105" i="50"/>
  <c r="P50" i="50"/>
  <c r="P48" i="50"/>
  <c r="P69" i="50"/>
  <c r="P70" i="50"/>
  <c r="P49" i="50"/>
  <c r="P71" i="50"/>
  <c r="C18" i="25"/>
  <c r="D18" i="25"/>
  <c r="E18" i="25"/>
  <c r="F18" i="25"/>
  <c r="G18" i="25"/>
  <c r="H18" i="25"/>
  <c r="I18" i="25"/>
  <c r="J18" i="25"/>
  <c r="K18" i="25"/>
  <c r="L18" i="25"/>
  <c r="M18" i="25"/>
  <c r="N18" i="25"/>
  <c r="O18" i="25"/>
  <c r="B18" i="25"/>
  <c r="H95" i="25" l="1"/>
  <c r="F95" i="25"/>
  <c r="B95" i="25"/>
  <c r="N95" i="25"/>
  <c r="J95" i="25"/>
  <c r="M95" i="25"/>
  <c r="I95" i="25"/>
  <c r="E95" i="25"/>
  <c r="D95" i="25"/>
  <c r="L95" i="25"/>
  <c r="O95" i="25"/>
  <c r="K95" i="25"/>
  <c r="G95" i="25"/>
  <c r="C95" i="25"/>
  <c r="F83" i="25"/>
  <c r="F82" i="25"/>
  <c r="F136" i="25"/>
  <c r="F96" i="25" s="1"/>
  <c r="I83" i="25"/>
  <c r="I136" i="25"/>
  <c r="B82" i="25"/>
  <c r="B83" i="25"/>
  <c r="B136" i="25"/>
  <c r="B96" i="25" s="1"/>
  <c r="D82" i="25"/>
  <c r="D83" i="25"/>
  <c r="D136" i="25"/>
  <c r="D96" i="25" s="1"/>
  <c r="N83" i="25"/>
  <c r="N82" i="25"/>
  <c r="N136" i="25"/>
  <c r="J83" i="25"/>
  <c r="J136" i="25"/>
  <c r="J82" i="25"/>
  <c r="M83" i="25"/>
  <c r="M136" i="25"/>
  <c r="M82" i="25"/>
  <c r="E83" i="25"/>
  <c r="E136" i="25"/>
  <c r="E82" i="25"/>
  <c r="L82" i="25"/>
  <c r="L83" i="25"/>
  <c r="L136" i="25"/>
  <c r="L96" i="25" s="1"/>
  <c r="H83" i="25"/>
  <c r="H136" i="25"/>
  <c r="H76" i="25" s="1"/>
  <c r="O82" i="25"/>
  <c r="O136" i="25"/>
  <c r="O83" i="25"/>
  <c r="K82" i="25"/>
  <c r="K83" i="25"/>
  <c r="K136" i="25"/>
  <c r="G136" i="25"/>
  <c r="G82" i="25" s="1"/>
  <c r="G83" i="25"/>
  <c r="C82" i="25"/>
  <c r="C83" i="25"/>
  <c r="C136" i="25"/>
  <c r="J137" i="25"/>
  <c r="J94" i="25"/>
  <c r="M137" i="25"/>
  <c r="M94" i="25"/>
  <c r="B137" i="25"/>
  <c r="B94" i="25"/>
  <c r="L137" i="25"/>
  <c r="L94" i="25"/>
  <c r="D137" i="25"/>
  <c r="D94" i="25"/>
  <c r="N137" i="25"/>
  <c r="N94" i="25"/>
  <c r="F137" i="25"/>
  <c r="F94" i="25"/>
  <c r="E137" i="25"/>
  <c r="E94" i="25"/>
  <c r="O137" i="25"/>
  <c r="O94" i="25"/>
  <c r="K137" i="25"/>
  <c r="K94" i="25"/>
  <c r="C137" i="25"/>
  <c r="C94" i="25"/>
  <c r="J53" i="25"/>
  <c r="E53" i="25"/>
  <c r="L53" i="25"/>
  <c r="D53" i="25"/>
  <c r="N53" i="25"/>
  <c r="F53" i="25"/>
  <c r="M53" i="25"/>
  <c r="B53" i="25"/>
  <c r="O53" i="25"/>
  <c r="K53" i="25"/>
  <c r="C53" i="25"/>
  <c r="B29" i="25"/>
  <c r="P29" i="25" s="1"/>
  <c r="D47" i="25" l="1"/>
  <c r="H47" i="25"/>
  <c r="E47" i="25"/>
  <c r="N47" i="25"/>
  <c r="O47" i="25"/>
  <c r="G47" i="25"/>
  <c r="K47" i="25"/>
  <c r="P97" i="25"/>
  <c r="C47" i="25"/>
  <c r="L47" i="25"/>
  <c r="M47" i="25"/>
  <c r="F47" i="25"/>
  <c r="B47" i="25"/>
  <c r="I82" i="25"/>
  <c r="P76" i="25"/>
  <c r="H82" i="25"/>
  <c r="K96" i="25"/>
  <c r="E96" i="25"/>
  <c r="B82" i="50"/>
  <c r="B75" i="63" s="1"/>
  <c r="B64" i="64" s="1"/>
  <c r="O96" i="25"/>
  <c r="J96" i="25"/>
  <c r="C96" i="25"/>
  <c r="M96" i="25"/>
  <c r="N96" i="25"/>
  <c r="N82" i="50"/>
  <c r="N75" i="63" s="1"/>
  <c r="N64" i="64" s="1"/>
  <c r="N78" i="66" s="1"/>
  <c r="N76" i="67" s="1"/>
  <c r="N73" i="68" s="1"/>
  <c r="N78" i="70" s="1"/>
  <c r="N78" i="71" s="1"/>
  <c r="N74" i="72" s="1"/>
  <c r="K82" i="50"/>
  <c r="K75" i="63" s="1"/>
  <c r="K64" i="64" s="1"/>
  <c r="K78" i="66" s="1"/>
  <c r="K76" i="67" s="1"/>
  <c r="K73" i="68" s="1"/>
  <c r="K78" i="70" s="1"/>
  <c r="K78" i="71" s="1"/>
  <c r="K74" i="72" s="1"/>
  <c r="D82" i="50"/>
  <c r="D75" i="63" s="1"/>
  <c r="D64" i="64" s="1"/>
  <c r="D78" i="66" s="1"/>
  <c r="D78" i="71" s="1"/>
  <c r="D74" i="72" s="1"/>
  <c r="C73" i="73" s="1"/>
  <c r="C72" i="74" s="1"/>
  <c r="E82" i="50"/>
  <c r="E75" i="63" s="1"/>
  <c r="E64" i="64" s="1"/>
  <c r="E78" i="66" s="1"/>
  <c r="E76" i="67" s="1"/>
  <c r="E73" i="68" s="1"/>
  <c r="E78" i="70" s="1"/>
  <c r="E78" i="71" s="1"/>
  <c r="E74" i="72" s="1"/>
  <c r="J82" i="50"/>
  <c r="F82" i="50"/>
  <c r="F75" i="63" s="1"/>
  <c r="F64" i="64" s="1"/>
  <c r="F78" i="66" s="1"/>
  <c r="F76" i="67" s="1"/>
  <c r="F73" i="68" s="1"/>
  <c r="F78" i="70" s="1"/>
  <c r="F78" i="71" s="1"/>
  <c r="F74" i="72" s="1"/>
  <c r="E73" i="73" s="1"/>
  <c r="D72" i="74" s="1"/>
  <c r="P83" i="25"/>
  <c r="L82" i="50"/>
  <c r="L75" i="63" s="1"/>
  <c r="L64" i="64" s="1"/>
  <c r="L78" i="66" s="1"/>
  <c r="L76" i="67" s="1"/>
  <c r="L73" i="68" s="1"/>
  <c r="L78" i="70" s="1"/>
  <c r="L78" i="71" s="1"/>
  <c r="L74" i="72" s="1"/>
  <c r="C82" i="50"/>
  <c r="C75" i="63" s="1"/>
  <c r="C64" i="64" s="1"/>
  <c r="C78" i="66" s="1"/>
  <c r="C76" i="67" s="1"/>
  <c r="C73" i="68" s="1"/>
  <c r="C78" i="70" s="1"/>
  <c r="C78" i="71" s="1"/>
  <c r="C74" i="72" s="1"/>
  <c r="O82" i="50"/>
  <c r="O75" i="63" s="1"/>
  <c r="O64" i="64" s="1"/>
  <c r="O78" i="66" s="1"/>
  <c r="O76" i="67" s="1"/>
  <c r="O73" i="68" s="1"/>
  <c r="O78" i="70" s="1"/>
  <c r="O78" i="71" s="1"/>
  <c r="O74" i="72" s="1"/>
  <c r="L73" i="73" s="1"/>
  <c r="K72" i="74" s="1"/>
  <c r="M82" i="50"/>
  <c r="M75" i="63" s="1"/>
  <c r="M64" i="64" s="1"/>
  <c r="M78" i="66" s="1"/>
  <c r="M76" i="67" s="1"/>
  <c r="M73" i="68" s="1"/>
  <c r="M78" i="70" s="1"/>
  <c r="M78" i="71" s="1"/>
  <c r="M74" i="72" s="1"/>
  <c r="K73" i="73" s="1"/>
  <c r="J72" i="74" s="1"/>
  <c r="C17" i="25"/>
  <c r="E17" i="25"/>
  <c r="F17" i="25"/>
  <c r="I17" i="25"/>
  <c r="B17" i="25"/>
  <c r="P82" i="25" l="1"/>
  <c r="J73" i="73"/>
  <c r="I72" i="74" s="1"/>
  <c r="I73" i="73"/>
  <c r="H72" i="74" s="1"/>
  <c r="B78" i="66"/>
  <c r="B76" i="67" s="1"/>
  <c r="J75" i="63"/>
  <c r="J64" i="64" l="1"/>
  <c r="B73" i="68"/>
  <c r="B78" i="70" s="1"/>
  <c r="B78" i="71" s="1"/>
  <c r="B74" i="72" s="1"/>
  <c r="B73" i="73" s="1"/>
  <c r="C8" i="25"/>
  <c r="D8" i="25"/>
  <c r="E8" i="25"/>
  <c r="F8" i="25"/>
  <c r="G8" i="25"/>
  <c r="H8" i="25"/>
  <c r="I8" i="25"/>
  <c r="J8" i="25"/>
  <c r="K8" i="25"/>
  <c r="L8" i="25"/>
  <c r="M8" i="25"/>
  <c r="N8" i="25"/>
  <c r="O8" i="25"/>
  <c r="B8" i="25"/>
  <c r="C12" i="25"/>
  <c r="D12" i="25"/>
  <c r="E12" i="25"/>
  <c r="F12" i="25"/>
  <c r="G12" i="25"/>
  <c r="H12" i="25"/>
  <c r="I12" i="25"/>
  <c r="J12" i="25"/>
  <c r="K12" i="25"/>
  <c r="L12" i="25"/>
  <c r="M12" i="25"/>
  <c r="N12" i="25"/>
  <c r="O12" i="25"/>
  <c r="B12" i="25"/>
  <c r="C11" i="25"/>
  <c r="D11" i="25"/>
  <c r="D69" i="25" s="1"/>
  <c r="E11" i="25"/>
  <c r="E69" i="25" s="1"/>
  <c r="F11" i="25"/>
  <c r="F69" i="25" s="1"/>
  <c r="G11" i="25"/>
  <c r="G69" i="25" s="1"/>
  <c r="H11" i="25"/>
  <c r="H69" i="25" s="1"/>
  <c r="I11" i="25"/>
  <c r="I69" i="25" s="1"/>
  <c r="J11" i="25"/>
  <c r="K11" i="25"/>
  <c r="L11" i="25"/>
  <c r="M11" i="25"/>
  <c r="M69" i="25" s="1"/>
  <c r="N11" i="25"/>
  <c r="N69" i="25" s="1"/>
  <c r="O11" i="25"/>
  <c r="O69" i="25" s="1"/>
  <c r="B11" i="25"/>
  <c r="B80" i="25" l="1"/>
  <c r="H80" i="25"/>
  <c r="H74" i="25" s="1"/>
  <c r="D80" i="25"/>
  <c r="D74" i="25" s="1"/>
  <c r="O81" i="25"/>
  <c r="O24" i="25"/>
  <c r="O80" i="25"/>
  <c r="O74" i="25" s="1"/>
  <c r="K80" i="25"/>
  <c r="K74" i="25" s="1"/>
  <c r="G81" i="25"/>
  <c r="G80" i="25"/>
  <c r="G24" i="25"/>
  <c r="C81" i="25"/>
  <c r="C80" i="25"/>
  <c r="C74" i="25" s="1"/>
  <c r="L80" i="25"/>
  <c r="N80" i="25"/>
  <c r="N74" i="25" s="1"/>
  <c r="J80" i="25"/>
  <c r="J74" i="25" s="1"/>
  <c r="F118" i="25"/>
  <c r="F125" i="62" s="1"/>
  <c r="F124" i="50" s="1"/>
  <c r="F131" i="63" s="1"/>
  <c r="F106" i="64" s="1"/>
  <c r="F141" i="66" s="1"/>
  <c r="F128" i="67" s="1"/>
  <c r="F119" i="68" s="1"/>
  <c r="F162" i="70" s="1"/>
  <c r="F160" i="71" s="1"/>
  <c r="F127" i="72" s="1"/>
  <c r="F80" i="25"/>
  <c r="M80" i="25"/>
  <c r="I80" i="25"/>
  <c r="I74" i="25" s="1"/>
  <c r="E80" i="25"/>
  <c r="O118" i="25"/>
  <c r="G118" i="25"/>
  <c r="N75" i="50"/>
  <c r="N68" i="63" s="1"/>
  <c r="N57" i="64" s="1"/>
  <c r="N70" i="66" s="1"/>
  <c r="N68" i="67" s="1"/>
  <c r="N65" i="68" s="1"/>
  <c r="N70" i="70" s="1"/>
  <c r="N70" i="71" s="1"/>
  <c r="N66" i="72" s="1"/>
  <c r="F75" i="50"/>
  <c r="F68" i="63" s="1"/>
  <c r="F57" i="64" s="1"/>
  <c r="F70" i="66" s="1"/>
  <c r="F68" i="67" s="1"/>
  <c r="F65" i="68" s="1"/>
  <c r="F70" i="70" s="1"/>
  <c r="F70" i="71" s="1"/>
  <c r="F66" i="72" s="1"/>
  <c r="E65" i="73" s="1"/>
  <c r="M75" i="50"/>
  <c r="M68" i="63" s="1"/>
  <c r="M57" i="64" s="1"/>
  <c r="M70" i="66" s="1"/>
  <c r="M68" i="67" s="1"/>
  <c r="M65" i="68" s="1"/>
  <c r="M70" i="70" s="1"/>
  <c r="M70" i="71" s="1"/>
  <c r="M66" i="72" s="1"/>
  <c r="K65" i="73" s="1"/>
  <c r="O75" i="50"/>
  <c r="O68" i="63" s="1"/>
  <c r="O57" i="64" s="1"/>
  <c r="O70" i="66" s="1"/>
  <c r="O68" i="67" s="1"/>
  <c r="O65" i="68" s="1"/>
  <c r="O70" i="70" s="1"/>
  <c r="O70" i="71" s="1"/>
  <c r="O66" i="72" s="1"/>
  <c r="L65" i="73" s="1"/>
  <c r="O116" i="25"/>
  <c r="O123" i="62" s="1"/>
  <c r="O122" i="50" s="1"/>
  <c r="O129" i="63" s="1"/>
  <c r="O104" i="64" s="1"/>
  <c r="O139" i="66" s="1"/>
  <c r="O126" i="67" s="1"/>
  <c r="O115" i="25"/>
  <c r="O122" i="62" s="1"/>
  <c r="O121" i="50" s="1"/>
  <c r="O128" i="63" s="1"/>
  <c r="O103" i="64" s="1"/>
  <c r="O138" i="66" s="1"/>
  <c r="O125" i="67" s="1"/>
  <c r="G75" i="50"/>
  <c r="G68" i="63" s="1"/>
  <c r="G57" i="64" s="1"/>
  <c r="G70" i="66" s="1"/>
  <c r="G68" i="67" s="1"/>
  <c r="G65" i="68" s="1"/>
  <c r="G70" i="70" s="1"/>
  <c r="G70" i="71" s="1"/>
  <c r="G66" i="72" s="1"/>
  <c r="F65" i="73" s="1"/>
  <c r="G116" i="25"/>
  <c r="G123" i="62" s="1"/>
  <c r="G122" i="50" s="1"/>
  <c r="G129" i="63" s="1"/>
  <c r="G104" i="64" s="1"/>
  <c r="G139" i="66" s="1"/>
  <c r="G126" i="67" s="1"/>
  <c r="G117" i="68" s="1"/>
  <c r="G160" i="70" s="1"/>
  <c r="G158" i="71" s="1"/>
  <c r="G125" i="72" s="1"/>
  <c r="F122" i="73" s="1"/>
  <c r="G115" i="25"/>
  <c r="G122" i="62" s="1"/>
  <c r="G121" i="50" s="1"/>
  <c r="G128" i="63" s="1"/>
  <c r="G103" i="64" s="1"/>
  <c r="G138" i="66" s="1"/>
  <c r="G125" i="67" s="1"/>
  <c r="G116" i="68" s="1"/>
  <c r="G159" i="70" s="1"/>
  <c r="G157" i="71" s="1"/>
  <c r="G124" i="72" s="1"/>
  <c r="F121" i="73" s="1"/>
  <c r="I75" i="50"/>
  <c r="I68" i="63" s="1"/>
  <c r="I57" i="64" s="1"/>
  <c r="I70" i="66" s="1"/>
  <c r="I68" i="67" s="1"/>
  <c r="I65" i="68" s="1"/>
  <c r="I70" i="70" s="1"/>
  <c r="I70" i="71" s="1"/>
  <c r="I66" i="72" s="1"/>
  <c r="G65" i="73" s="1"/>
  <c r="I115" i="25"/>
  <c r="I122" i="62" s="1"/>
  <c r="I121" i="50" s="1"/>
  <c r="I128" i="63" s="1"/>
  <c r="I103" i="64" s="1"/>
  <c r="I138" i="66" s="1"/>
  <c r="I125" i="67" s="1"/>
  <c r="I116" i="68" s="1"/>
  <c r="I159" i="70" s="1"/>
  <c r="I157" i="71" s="1"/>
  <c r="I124" i="72" s="1"/>
  <c r="G121" i="73" s="1"/>
  <c r="I116" i="25"/>
  <c r="I123" i="62" s="1"/>
  <c r="I122" i="50" s="1"/>
  <c r="I129" i="63" s="1"/>
  <c r="I104" i="64" s="1"/>
  <c r="I139" i="66" s="1"/>
  <c r="I126" i="67" s="1"/>
  <c r="I117" i="68" s="1"/>
  <c r="I160" i="70" s="1"/>
  <c r="I158" i="71" s="1"/>
  <c r="I125" i="72" s="1"/>
  <c r="G122" i="73" s="1"/>
  <c r="E75" i="50"/>
  <c r="E68" i="63" s="1"/>
  <c r="E57" i="64" s="1"/>
  <c r="E70" i="66" s="1"/>
  <c r="E68" i="67" s="1"/>
  <c r="E65" i="68" s="1"/>
  <c r="E70" i="70" s="1"/>
  <c r="E70" i="71" s="1"/>
  <c r="E66" i="72" s="1"/>
  <c r="D65" i="73" s="1"/>
  <c r="H75" i="50"/>
  <c r="H68" i="63" s="1"/>
  <c r="H57" i="64" s="1"/>
  <c r="H70" i="66" s="1"/>
  <c r="H68" i="67" s="1"/>
  <c r="H65" i="68" s="1"/>
  <c r="H70" i="70" s="1"/>
  <c r="H70" i="71" s="1"/>
  <c r="H66" i="72" s="1"/>
  <c r="D75" i="50"/>
  <c r="D68" i="63" s="1"/>
  <c r="D57" i="64" s="1"/>
  <c r="D70" i="66" s="1"/>
  <c r="D68" i="67" s="1"/>
  <c r="D65" i="68" s="1"/>
  <c r="D70" i="70" s="1"/>
  <c r="D70" i="71" s="1"/>
  <c r="D66" i="72" s="1"/>
  <c r="C65" i="73" s="1"/>
  <c r="B72" i="74"/>
  <c r="J78" i="66"/>
  <c r="J76" i="67" s="1"/>
  <c r="E74" i="25"/>
  <c r="B74" i="25"/>
  <c r="M74" i="25"/>
  <c r="L74" i="25"/>
  <c r="G74" i="25"/>
  <c r="F74" i="25"/>
  <c r="J73" i="68" l="1"/>
  <c r="F75" i="25"/>
  <c r="I75" i="25"/>
  <c r="K75" i="25"/>
  <c r="L75" i="25"/>
  <c r="C75" i="25"/>
  <c r="M75" i="25"/>
  <c r="G75" i="25"/>
  <c r="P80" i="25"/>
  <c r="B75" i="25"/>
  <c r="J75" i="25"/>
  <c r="O75" i="25"/>
  <c r="N75" i="25"/>
  <c r="H75" i="25"/>
  <c r="D75" i="25"/>
  <c r="E75" i="25"/>
  <c r="C10" i="25"/>
  <c r="D10" i="25"/>
  <c r="E10" i="25"/>
  <c r="F10" i="25"/>
  <c r="G10" i="25"/>
  <c r="H10" i="25"/>
  <c r="I10" i="25"/>
  <c r="J10" i="25"/>
  <c r="K10" i="25"/>
  <c r="L10" i="25"/>
  <c r="M10" i="25"/>
  <c r="N10" i="25"/>
  <c r="O10" i="25"/>
  <c r="B10" i="25"/>
  <c r="D13" i="25"/>
  <c r="D81" i="25" s="1"/>
  <c r="E13" i="25"/>
  <c r="E81" i="25" s="1"/>
  <c r="F13" i="25"/>
  <c r="F81" i="25" s="1"/>
  <c r="G13" i="25"/>
  <c r="H13" i="25"/>
  <c r="H81" i="25" s="1"/>
  <c r="I13" i="25"/>
  <c r="I81" i="25" s="1"/>
  <c r="J13" i="25"/>
  <c r="K13" i="25"/>
  <c r="L13" i="25"/>
  <c r="M13" i="25"/>
  <c r="M81" i="25" s="1"/>
  <c r="N13" i="25"/>
  <c r="N81" i="25" s="1"/>
  <c r="O13" i="25"/>
  <c r="B13" i="25"/>
  <c r="B81" i="25" l="1"/>
  <c r="L81" i="25"/>
  <c r="K81" i="25"/>
  <c r="J81" i="25"/>
  <c r="K69" i="74"/>
  <c r="J33" i="74"/>
  <c r="J78" i="70"/>
  <c r="F69" i="74"/>
  <c r="D33" i="74"/>
  <c r="F33" i="74"/>
  <c r="E33" i="74"/>
  <c r="E70" i="74"/>
  <c r="E69" i="74"/>
  <c r="C33" i="74"/>
  <c r="K33" i="74"/>
  <c r="P74" i="25"/>
  <c r="P75" i="25"/>
  <c r="L14" i="25"/>
  <c r="L16" i="25"/>
  <c r="L118" i="25" s="1"/>
  <c r="L125" i="62" s="1"/>
  <c r="L124" i="50" s="1"/>
  <c r="L131" i="63" s="1"/>
  <c r="L106" i="64" s="1"/>
  <c r="L141" i="66" s="1"/>
  <c r="L128" i="67" s="1"/>
  <c r="L119" i="68" s="1"/>
  <c r="H14" i="25"/>
  <c r="H16" i="25"/>
  <c r="D14" i="25"/>
  <c r="D16" i="25"/>
  <c r="O14" i="25"/>
  <c r="O16" i="25"/>
  <c r="K14" i="25"/>
  <c r="K16" i="25"/>
  <c r="K118" i="25" s="1"/>
  <c r="K125" i="62" s="1"/>
  <c r="K124" i="50" s="1"/>
  <c r="K131" i="63" s="1"/>
  <c r="K106" i="64" s="1"/>
  <c r="K141" i="66" s="1"/>
  <c r="K128" i="67" s="1"/>
  <c r="K119" i="68" s="1"/>
  <c r="G14" i="25"/>
  <c r="G16" i="25"/>
  <c r="C14" i="25"/>
  <c r="C16" i="25"/>
  <c r="C40" i="25" s="1"/>
  <c r="C51" i="25" s="1"/>
  <c r="B14" i="25"/>
  <c r="B16" i="25"/>
  <c r="B40" i="25" s="1"/>
  <c r="B51" i="25" s="1"/>
  <c r="M14" i="25"/>
  <c r="M16" i="25"/>
  <c r="M118" i="25" s="1"/>
  <c r="M125" i="62" s="1"/>
  <c r="M124" i="50" s="1"/>
  <c r="M131" i="63" s="1"/>
  <c r="M106" i="64" s="1"/>
  <c r="M141" i="66" s="1"/>
  <c r="M128" i="67" s="1"/>
  <c r="M119" i="68" s="1"/>
  <c r="M162" i="70" s="1"/>
  <c r="M160" i="71" s="1"/>
  <c r="M127" i="72" s="1"/>
  <c r="I14" i="25"/>
  <c r="I16" i="25"/>
  <c r="I53" i="25" s="1"/>
  <c r="E14" i="25"/>
  <c r="E16" i="25"/>
  <c r="E40" i="25" s="1"/>
  <c r="E51" i="25" s="1"/>
  <c r="N14" i="25"/>
  <c r="N16" i="25"/>
  <c r="N118" i="25" s="1"/>
  <c r="N125" i="62" s="1"/>
  <c r="N124" i="50" s="1"/>
  <c r="N131" i="63" s="1"/>
  <c r="N106" i="64" s="1"/>
  <c r="N141" i="66" s="1"/>
  <c r="N128" i="67" s="1"/>
  <c r="N119" i="68" s="1"/>
  <c r="N162" i="70" s="1"/>
  <c r="N160" i="71" s="1"/>
  <c r="N127" i="72" s="1"/>
  <c r="J14" i="25"/>
  <c r="J16" i="25"/>
  <c r="J118" i="25" s="1"/>
  <c r="J125" i="62" s="1"/>
  <c r="J124" i="50" s="1"/>
  <c r="J131" i="63" s="1"/>
  <c r="J106" i="64" s="1"/>
  <c r="J141" i="66" s="1"/>
  <c r="J128" i="67" s="1"/>
  <c r="J119" i="68" s="1"/>
  <c r="J162" i="70" s="1"/>
  <c r="J160" i="71" s="1"/>
  <c r="J127" i="72" s="1"/>
  <c r="F14" i="25"/>
  <c r="F16" i="25"/>
  <c r="F40" i="25" s="1"/>
  <c r="J62" i="25" l="1"/>
  <c r="J64" i="25"/>
  <c r="J46" i="25"/>
  <c r="J48" i="25"/>
  <c r="E46" i="25"/>
  <c r="E62" i="25"/>
  <c r="E64" i="25"/>
  <c r="E48" i="25"/>
  <c r="M46" i="25"/>
  <c r="M48" i="25"/>
  <c r="M62" i="25"/>
  <c r="M64" i="25"/>
  <c r="C48" i="25"/>
  <c r="C46" i="25"/>
  <c r="C62" i="25"/>
  <c r="C64" i="25"/>
  <c r="K48" i="25"/>
  <c r="K46" i="25"/>
  <c r="K62" i="25"/>
  <c r="K64" i="25"/>
  <c r="D62" i="25"/>
  <c r="D64" i="25"/>
  <c r="D46" i="25"/>
  <c r="D48" i="25"/>
  <c r="L62" i="25"/>
  <c r="L64" i="25"/>
  <c r="L46" i="25"/>
  <c r="L48" i="25"/>
  <c r="F62" i="25"/>
  <c r="F64" i="25"/>
  <c r="F48" i="25"/>
  <c r="F46" i="25"/>
  <c r="N48" i="25"/>
  <c r="N46" i="25"/>
  <c r="N62" i="25"/>
  <c r="N64" i="25"/>
  <c r="I46" i="25"/>
  <c r="I62" i="25"/>
  <c r="I64" i="25"/>
  <c r="I48" i="25"/>
  <c r="B64" i="25"/>
  <c r="B62" i="25"/>
  <c r="B48" i="25"/>
  <c r="B46" i="25"/>
  <c r="O48" i="25"/>
  <c r="O46" i="25"/>
  <c r="O62" i="25"/>
  <c r="O64" i="25"/>
  <c r="C118" i="25"/>
  <c r="C125" i="62" s="1"/>
  <c r="C124" i="50" s="1"/>
  <c r="C131" i="63" s="1"/>
  <c r="C106" i="64" s="1"/>
  <c r="C141" i="66" s="1"/>
  <c r="C128" i="67" s="1"/>
  <c r="C119" i="68" s="1"/>
  <c r="C162" i="70" s="1"/>
  <c r="C160" i="71" s="1"/>
  <c r="C127" i="72" s="1"/>
  <c r="C124" i="73" s="1"/>
  <c r="C122" i="74" s="1"/>
  <c r="C87" i="25"/>
  <c r="F87" i="25"/>
  <c r="B118" i="25"/>
  <c r="B125" i="62" s="1"/>
  <c r="B124" i="50" s="1"/>
  <c r="B131" i="63" s="1"/>
  <c r="B106" i="64" s="1"/>
  <c r="B141" i="66" s="1"/>
  <c r="B128" i="67" s="1"/>
  <c r="B119" i="68" s="1"/>
  <c r="B87" i="25"/>
  <c r="B66" i="25" s="1"/>
  <c r="H88" i="25"/>
  <c r="H87" i="25"/>
  <c r="G53" i="25"/>
  <c r="H118" i="25"/>
  <c r="H125" i="62" s="1"/>
  <c r="H124" i="50" s="1"/>
  <c r="H131" i="63" s="1"/>
  <c r="H106" i="64" s="1"/>
  <c r="H141" i="66" s="1"/>
  <c r="H128" i="67" s="1"/>
  <c r="H119" i="68" s="1"/>
  <c r="H162" i="70" s="1"/>
  <c r="H160" i="71" s="1"/>
  <c r="H127" i="72" s="1"/>
  <c r="H124" i="73" s="1"/>
  <c r="H53" i="25"/>
  <c r="F85" i="25"/>
  <c r="F84" i="25"/>
  <c r="F24" i="25" s="1"/>
  <c r="N85" i="25"/>
  <c r="N84" i="25"/>
  <c r="N24" i="25" s="1"/>
  <c r="N77" i="25" s="1"/>
  <c r="I85" i="25"/>
  <c r="I84" i="25"/>
  <c r="I24" i="25" s="1"/>
  <c r="B84" i="25"/>
  <c r="B24" i="25" s="1"/>
  <c r="G84" i="25"/>
  <c r="G85" i="25"/>
  <c r="O65" i="25"/>
  <c r="O84" i="25"/>
  <c r="O85" i="25"/>
  <c r="H85" i="25"/>
  <c r="H84" i="25"/>
  <c r="H24" i="25" s="1"/>
  <c r="H77" i="25" s="1"/>
  <c r="E118" i="25"/>
  <c r="E125" i="62" s="1"/>
  <c r="E124" i="50" s="1"/>
  <c r="E131" i="63" s="1"/>
  <c r="E106" i="64" s="1"/>
  <c r="E141" i="66" s="1"/>
  <c r="E128" i="67" s="1"/>
  <c r="E119" i="68" s="1"/>
  <c r="E162" i="70" s="1"/>
  <c r="E160" i="71" s="1"/>
  <c r="E127" i="72" s="1"/>
  <c r="E124" i="73" s="1"/>
  <c r="E87" i="25"/>
  <c r="D118" i="25"/>
  <c r="D125" i="62" s="1"/>
  <c r="D124" i="50" s="1"/>
  <c r="D131" i="63" s="1"/>
  <c r="D106" i="64" s="1"/>
  <c r="D141" i="66" s="1"/>
  <c r="J84" i="25"/>
  <c r="J24" i="25" s="1"/>
  <c r="J85" i="25"/>
  <c r="E85" i="25"/>
  <c r="E84" i="25"/>
  <c r="E24" i="25" s="1"/>
  <c r="M65" i="25"/>
  <c r="M85" i="25"/>
  <c r="M84" i="25"/>
  <c r="M24" i="25" s="1"/>
  <c r="C84" i="25"/>
  <c r="C24" i="25" s="1"/>
  <c r="C77" i="25" s="1"/>
  <c r="C85" i="25"/>
  <c r="C69" i="25" s="1"/>
  <c r="K84" i="25"/>
  <c r="K24" i="25" s="1"/>
  <c r="K85" i="25"/>
  <c r="D85" i="25"/>
  <c r="D84" i="25"/>
  <c r="D24" i="25" s="1"/>
  <c r="L84" i="25"/>
  <c r="L24" i="25" s="1"/>
  <c r="L85" i="25"/>
  <c r="K65" i="25"/>
  <c r="J65" i="25"/>
  <c r="N65" i="25"/>
  <c r="E65" i="25"/>
  <c r="B65" i="25"/>
  <c r="F65" i="25"/>
  <c r="C65" i="25"/>
  <c r="D65" i="25"/>
  <c r="H52" i="25"/>
  <c r="I118" i="25"/>
  <c r="I125" i="62" s="1"/>
  <c r="I124" i="50" s="1"/>
  <c r="I131" i="63" s="1"/>
  <c r="I106" i="64" s="1"/>
  <c r="I141" i="66" s="1"/>
  <c r="I128" i="67" s="1"/>
  <c r="I119" i="68" s="1"/>
  <c r="I162" i="70" s="1"/>
  <c r="I160" i="71" s="1"/>
  <c r="I127" i="72" s="1"/>
  <c r="J40" i="25"/>
  <c r="J51" i="25" s="1"/>
  <c r="J116" i="25"/>
  <c r="J123" i="62" s="1"/>
  <c r="J122" i="50" s="1"/>
  <c r="J129" i="63" s="1"/>
  <c r="J104" i="64" s="1"/>
  <c r="J139" i="66" s="1"/>
  <c r="J126" i="67" s="1"/>
  <c r="J117" i="68" s="1"/>
  <c r="J160" i="70" s="1"/>
  <c r="J158" i="71" s="1"/>
  <c r="J125" i="72" s="1"/>
  <c r="H122" i="73" s="1"/>
  <c r="J115" i="25"/>
  <c r="J122" i="62" s="1"/>
  <c r="J121" i="50" s="1"/>
  <c r="J128" i="63" s="1"/>
  <c r="J103" i="64" s="1"/>
  <c r="J138" i="66" s="1"/>
  <c r="J125" i="67" s="1"/>
  <c r="J116" i="68" s="1"/>
  <c r="J159" i="70" s="1"/>
  <c r="J157" i="71" s="1"/>
  <c r="J124" i="72" s="1"/>
  <c r="H121" i="73" s="1"/>
  <c r="M40" i="25"/>
  <c r="M51" i="25" s="1"/>
  <c r="M116" i="25"/>
  <c r="M123" i="62" s="1"/>
  <c r="M122" i="50" s="1"/>
  <c r="M129" i="63" s="1"/>
  <c r="M104" i="64" s="1"/>
  <c r="M139" i="66" s="1"/>
  <c r="M126" i="67" s="1"/>
  <c r="M117" i="68" s="1"/>
  <c r="M160" i="70" s="1"/>
  <c r="M158" i="71" s="1"/>
  <c r="M125" i="72" s="1"/>
  <c r="M115" i="25"/>
  <c r="M122" i="62" s="1"/>
  <c r="M121" i="50" s="1"/>
  <c r="M128" i="63" s="1"/>
  <c r="M103" i="64" s="1"/>
  <c r="M138" i="66" s="1"/>
  <c r="M125" i="67" s="1"/>
  <c r="M116" i="68" s="1"/>
  <c r="M159" i="70" s="1"/>
  <c r="M157" i="71" s="1"/>
  <c r="M124" i="72" s="1"/>
  <c r="K40" i="25"/>
  <c r="K51" i="25" s="1"/>
  <c r="K116" i="25"/>
  <c r="K123" i="62" s="1"/>
  <c r="K122" i="50" s="1"/>
  <c r="K129" i="63" s="1"/>
  <c r="K104" i="64" s="1"/>
  <c r="K139" i="66" s="1"/>
  <c r="K126" i="67" s="1"/>
  <c r="K117" i="68" s="1"/>
  <c r="K160" i="70" s="1"/>
  <c r="K158" i="71" s="1"/>
  <c r="K125" i="72" s="1"/>
  <c r="I122" i="73" s="1"/>
  <c r="K115" i="25"/>
  <c r="K122" i="62" s="1"/>
  <c r="K121" i="50" s="1"/>
  <c r="K128" i="63" s="1"/>
  <c r="K103" i="64" s="1"/>
  <c r="K138" i="66" s="1"/>
  <c r="K125" i="67" s="1"/>
  <c r="K116" i="68" s="1"/>
  <c r="K159" i="70" s="1"/>
  <c r="K157" i="71" s="1"/>
  <c r="K124" i="72" s="1"/>
  <c r="I121" i="73" s="1"/>
  <c r="L40" i="25"/>
  <c r="L51" i="25" s="1"/>
  <c r="L115" i="25"/>
  <c r="L122" i="62" s="1"/>
  <c r="L121" i="50" s="1"/>
  <c r="L128" i="63" s="1"/>
  <c r="L103" i="64" s="1"/>
  <c r="L138" i="66" s="1"/>
  <c r="L125" i="67" s="1"/>
  <c r="L116" i="68" s="1"/>
  <c r="L159" i="70" s="1"/>
  <c r="L157" i="71" s="1"/>
  <c r="L124" i="72" s="1"/>
  <c r="J121" i="73" s="1"/>
  <c r="L116" i="25"/>
  <c r="L123" i="62" s="1"/>
  <c r="L122" i="50" s="1"/>
  <c r="L129" i="63" s="1"/>
  <c r="L104" i="64" s="1"/>
  <c r="L139" i="66" s="1"/>
  <c r="L126" i="67" s="1"/>
  <c r="L117" i="68" s="1"/>
  <c r="L160" i="70" s="1"/>
  <c r="L158" i="71" s="1"/>
  <c r="L125" i="72" s="1"/>
  <c r="J122" i="73" s="1"/>
  <c r="B115" i="25"/>
  <c r="B122" i="62" s="1"/>
  <c r="B121" i="50" s="1"/>
  <c r="B128" i="63" s="1"/>
  <c r="B103" i="64" s="1"/>
  <c r="B138" i="66" s="1"/>
  <c r="B125" i="67" s="1"/>
  <c r="B116" i="68" s="1"/>
  <c r="B159" i="70" s="1"/>
  <c r="B157" i="71" s="1"/>
  <c r="B124" i="72" s="1"/>
  <c r="B121" i="73" s="1"/>
  <c r="B116" i="25"/>
  <c r="B123" i="62" s="1"/>
  <c r="B122" i="50" s="1"/>
  <c r="B129" i="63" s="1"/>
  <c r="B104" i="64" s="1"/>
  <c r="B139" i="66" s="1"/>
  <c r="B126" i="67" s="1"/>
  <c r="B117" i="68" s="1"/>
  <c r="B160" i="70" s="1"/>
  <c r="B158" i="71" s="1"/>
  <c r="B125" i="72" s="1"/>
  <c r="B122" i="73" s="1"/>
  <c r="H116" i="25"/>
  <c r="H123" i="62" s="1"/>
  <c r="H122" i="50" s="1"/>
  <c r="H129" i="63" s="1"/>
  <c r="H104" i="64" s="1"/>
  <c r="H139" i="66" s="1"/>
  <c r="H126" i="67" s="1"/>
  <c r="H117" i="68" s="1"/>
  <c r="H160" i="70" s="1"/>
  <c r="H158" i="71" s="1"/>
  <c r="H125" i="72" s="1"/>
  <c r="H115" i="25"/>
  <c r="H122" i="62" s="1"/>
  <c r="H121" i="50" s="1"/>
  <c r="H128" i="63" s="1"/>
  <c r="H103" i="64" s="1"/>
  <c r="H138" i="66" s="1"/>
  <c r="H125" i="67" s="1"/>
  <c r="H116" i="68" s="1"/>
  <c r="H159" i="70" s="1"/>
  <c r="H157" i="71" s="1"/>
  <c r="H124" i="72" s="1"/>
  <c r="E116" i="25"/>
  <c r="E123" i="62" s="1"/>
  <c r="E122" i="50" s="1"/>
  <c r="E129" i="63" s="1"/>
  <c r="E104" i="64" s="1"/>
  <c r="E139" i="66" s="1"/>
  <c r="E126" i="67" s="1"/>
  <c r="E117" i="68" s="1"/>
  <c r="E160" i="70" s="1"/>
  <c r="E158" i="71" s="1"/>
  <c r="E115" i="25"/>
  <c r="E122" i="62" s="1"/>
  <c r="E121" i="50" s="1"/>
  <c r="E128" i="63" s="1"/>
  <c r="E103" i="64" s="1"/>
  <c r="E138" i="66" s="1"/>
  <c r="E125" i="67" s="1"/>
  <c r="E116" i="68" s="1"/>
  <c r="E159" i="70" s="1"/>
  <c r="E157" i="71" s="1"/>
  <c r="C116" i="25"/>
  <c r="C123" i="62" s="1"/>
  <c r="C122" i="50" s="1"/>
  <c r="C129" i="63" s="1"/>
  <c r="C104" i="64" s="1"/>
  <c r="C139" i="66" s="1"/>
  <c r="C115" i="25"/>
  <c r="C122" i="62" s="1"/>
  <c r="C121" i="50" s="1"/>
  <c r="C128" i="63" s="1"/>
  <c r="C103" i="64" s="1"/>
  <c r="C138" i="66" s="1"/>
  <c r="D116" i="25"/>
  <c r="D123" i="62" s="1"/>
  <c r="D122" i="50" s="1"/>
  <c r="D129" i="63" s="1"/>
  <c r="D104" i="64" s="1"/>
  <c r="D139" i="66" s="1"/>
  <c r="D115" i="25"/>
  <c r="D122" i="62" s="1"/>
  <c r="D121" i="50" s="1"/>
  <c r="D128" i="63" s="1"/>
  <c r="D103" i="64" s="1"/>
  <c r="D138" i="66" s="1"/>
  <c r="D32" i="66" s="1"/>
  <c r="F115" i="25"/>
  <c r="F122" i="62" s="1"/>
  <c r="F121" i="50" s="1"/>
  <c r="F128" i="63" s="1"/>
  <c r="F103" i="64" s="1"/>
  <c r="F138" i="66" s="1"/>
  <c r="F125" i="67" s="1"/>
  <c r="F116" i="68" s="1"/>
  <c r="F159" i="70" s="1"/>
  <c r="F157" i="71" s="1"/>
  <c r="F124" i="72" s="1"/>
  <c r="E121" i="73" s="1"/>
  <c r="F116" i="25"/>
  <c r="F123" i="62" s="1"/>
  <c r="F122" i="50" s="1"/>
  <c r="F129" i="63" s="1"/>
  <c r="F104" i="64" s="1"/>
  <c r="F139" i="66" s="1"/>
  <c r="F126" i="67" s="1"/>
  <c r="F117" i="68" s="1"/>
  <c r="F160" i="70" s="1"/>
  <c r="F158" i="71" s="1"/>
  <c r="F125" i="72" s="1"/>
  <c r="E122" i="73" s="1"/>
  <c r="N40" i="25"/>
  <c r="N51" i="25" s="1"/>
  <c r="N116" i="25"/>
  <c r="N123" i="62" s="1"/>
  <c r="N122" i="50" s="1"/>
  <c r="N129" i="63" s="1"/>
  <c r="N104" i="64" s="1"/>
  <c r="N139" i="66" s="1"/>
  <c r="N126" i="67" s="1"/>
  <c r="N117" i="68" s="1"/>
  <c r="N160" i="70" s="1"/>
  <c r="N158" i="71" s="1"/>
  <c r="N125" i="72" s="1"/>
  <c r="N115" i="25"/>
  <c r="N122" i="62" s="1"/>
  <c r="N121" i="50" s="1"/>
  <c r="N128" i="63" s="1"/>
  <c r="N103" i="64" s="1"/>
  <c r="N138" i="66" s="1"/>
  <c r="N125" i="67" s="1"/>
  <c r="N116" i="68" s="1"/>
  <c r="N159" i="70" s="1"/>
  <c r="N157" i="71" s="1"/>
  <c r="N124" i="72" s="1"/>
  <c r="C75" i="50"/>
  <c r="C68" i="63" s="1"/>
  <c r="C57" i="64" s="1"/>
  <c r="C70" i="66" s="1"/>
  <c r="C68" i="67" s="1"/>
  <c r="C65" i="68" s="1"/>
  <c r="C70" i="70" s="1"/>
  <c r="C70" i="71" s="1"/>
  <c r="C66" i="72" s="1"/>
  <c r="D39" i="74"/>
  <c r="D89" i="74"/>
  <c r="F89" i="74"/>
  <c r="F39" i="74"/>
  <c r="K70" i="74"/>
  <c r="J78" i="71"/>
  <c r="F70" i="74"/>
  <c r="F52" i="25"/>
  <c r="I40" i="25"/>
  <c r="I51" i="25" s="1"/>
  <c r="G52" i="25"/>
  <c r="O40" i="25"/>
  <c r="O51" i="25" s="1"/>
  <c r="E52" i="25"/>
  <c r="P81" i="25"/>
  <c r="C126" i="67"/>
  <c r="C117" i="68" s="1"/>
  <c r="C160" i="70" s="1"/>
  <c r="C158" i="71" s="1"/>
  <c r="C125" i="72" s="1"/>
  <c r="C125" i="67"/>
  <c r="C116" i="68" s="1"/>
  <c r="C159" i="70" s="1"/>
  <c r="C157" i="71" s="1"/>
  <c r="C124" i="72" s="1"/>
  <c r="F117" i="25"/>
  <c r="F124" i="62" s="1"/>
  <c r="F123" i="50" s="1"/>
  <c r="F130" i="63" s="1"/>
  <c r="F105" i="64" s="1"/>
  <c r="F140" i="66" s="1"/>
  <c r="F127" i="67" s="1"/>
  <c r="F118" i="68" s="1"/>
  <c r="C52" i="25"/>
  <c r="B52" i="25"/>
  <c r="D43" i="1"/>
  <c r="E41" i="1"/>
  <c r="F43" i="1"/>
  <c r="G43" i="1"/>
  <c r="H41" i="1"/>
  <c r="J43" i="1"/>
  <c r="K41" i="1"/>
  <c r="N41" i="1"/>
  <c r="P41" i="1"/>
  <c r="C43" i="1"/>
  <c r="L69" i="25" l="1"/>
  <c r="L75" i="50" s="1"/>
  <c r="L68" i="63" s="1"/>
  <c r="L57" i="64" s="1"/>
  <c r="L70" i="66" s="1"/>
  <c r="L68" i="67" s="1"/>
  <c r="L65" i="68" s="1"/>
  <c r="L70" i="70" s="1"/>
  <c r="L70" i="71" s="1"/>
  <c r="L66" i="72" s="1"/>
  <c r="J65" i="73" s="1"/>
  <c r="K69" i="25"/>
  <c r="K75" i="50" s="1"/>
  <c r="K68" i="63" s="1"/>
  <c r="K57" i="64" s="1"/>
  <c r="K70" i="66" s="1"/>
  <c r="K68" i="67" s="1"/>
  <c r="K65" i="68" s="1"/>
  <c r="K70" i="70" s="1"/>
  <c r="K70" i="71" s="1"/>
  <c r="K66" i="72" s="1"/>
  <c r="I65" i="73" s="1"/>
  <c r="J69" i="25"/>
  <c r="J75" i="50" s="1"/>
  <c r="J68" i="63" s="1"/>
  <c r="J57" i="64" s="1"/>
  <c r="J70" i="66" s="1"/>
  <c r="J68" i="67" s="1"/>
  <c r="J65" i="68" s="1"/>
  <c r="J70" i="70" s="1"/>
  <c r="J70" i="71" s="1"/>
  <c r="J66" i="72" s="1"/>
  <c r="H65" i="73" s="1"/>
  <c r="G33" i="74" s="1"/>
  <c r="B69" i="25"/>
  <c r="P69" i="25" s="1"/>
  <c r="G137" i="25"/>
  <c r="G94" i="25" s="1"/>
  <c r="I137" i="25"/>
  <c r="I94" i="25" s="1"/>
  <c r="I65" i="25" s="1"/>
  <c r="H137" i="25"/>
  <c r="H94" i="25" s="1"/>
  <c r="C35" i="25"/>
  <c r="C30" i="25"/>
  <c r="C34" i="25"/>
  <c r="C28" i="25"/>
  <c r="C26" i="25"/>
  <c r="C31" i="25"/>
  <c r="C25" i="25"/>
  <c r="H34" i="25"/>
  <c r="H28" i="25"/>
  <c r="H35" i="25"/>
  <c r="H30" i="25"/>
  <c r="H26" i="25"/>
  <c r="H25" i="25"/>
  <c r="H31" i="25"/>
  <c r="N28" i="25"/>
  <c r="N30" i="25"/>
  <c r="N34" i="25"/>
  <c r="N35" i="25"/>
  <c r="N26" i="25"/>
  <c r="N31" i="25"/>
  <c r="N25" i="25"/>
  <c r="L65" i="25"/>
  <c r="D34" i="25"/>
  <c r="D35" i="25"/>
  <c r="D28" i="25"/>
  <c r="D30" i="25"/>
  <c r="D25" i="25"/>
  <c r="D26" i="25"/>
  <c r="D31" i="25"/>
  <c r="K35" i="25"/>
  <c r="K30" i="25"/>
  <c r="K34" i="25"/>
  <c r="K28" i="25"/>
  <c r="K26" i="25"/>
  <c r="K31" i="25"/>
  <c r="K25" i="25"/>
  <c r="E28" i="25"/>
  <c r="E35" i="25"/>
  <c r="E34" i="25"/>
  <c r="E30" i="25"/>
  <c r="E26" i="25"/>
  <c r="E31" i="25"/>
  <c r="E25" i="25"/>
  <c r="J28" i="25"/>
  <c r="J34" i="25"/>
  <c r="J30" i="25"/>
  <c r="J35" i="25"/>
  <c r="J26" i="25"/>
  <c r="J25" i="25"/>
  <c r="J27" i="62" s="1"/>
  <c r="P27" i="62" s="1"/>
  <c r="J31" i="25"/>
  <c r="M34" i="25"/>
  <c r="M35" i="25"/>
  <c r="M30" i="25"/>
  <c r="M28" i="25"/>
  <c r="M26" i="25"/>
  <c r="M31" i="25"/>
  <c r="M25" i="25"/>
  <c r="G30" i="25"/>
  <c r="G34" i="25"/>
  <c r="G28" i="25"/>
  <c r="G35" i="25"/>
  <c r="G31" i="25"/>
  <c r="G26" i="25"/>
  <c r="G25" i="25"/>
  <c r="I34" i="25"/>
  <c r="I28" i="25"/>
  <c r="I35" i="25"/>
  <c r="I30" i="25"/>
  <c r="I26" i="25"/>
  <c r="I31" i="25"/>
  <c r="I25" i="25"/>
  <c r="L28" i="25"/>
  <c r="L34" i="25"/>
  <c r="L35" i="25"/>
  <c r="L30" i="25"/>
  <c r="L31" i="25"/>
  <c r="L26" i="25"/>
  <c r="L25" i="25"/>
  <c r="O28" i="25"/>
  <c r="O34" i="25"/>
  <c r="O30" i="25"/>
  <c r="O35" i="25"/>
  <c r="O31" i="25"/>
  <c r="O26" i="25"/>
  <c r="O25" i="25"/>
  <c r="B34" i="25"/>
  <c r="B28" i="25"/>
  <c r="B30" i="25"/>
  <c r="B35" i="25"/>
  <c r="B25" i="25"/>
  <c r="B31" i="25"/>
  <c r="B26" i="25"/>
  <c r="F35" i="25"/>
  <c r="F30" i="25"/>
  <c r="F34" i="25"/>
  <c r="F28" i="25"/>
  <c r="F25" i="25"/>
  <c r="F26" i="25"/>
  <c r="F31" i="25"/>
  <c r="H66" i="25"/>
  <c r="H50" i="25" s="1"/>
  <c r="J99" i="25"/>
  <c r="B50" i="25"/>
  <c r="D121" i="73"/>
  <c r="D114" i="73" s="1"/>
  <c r="M114" i="73" s="1"/>
  <c r="E124" i="72"/>
  <c r="K121" i="73"/>
  <c r="J105" i="74"/>
  <c r="E125" i="72"/>
  <c r="D122" i="73"/>
  <c r="D115" i="73" s="1"/>
  <c r="M115" i="73" s="1"/>
  <c r="K122" i="73"/>
  <c r="J106" i="74"/>
  <c r="P32" i="66"/>
  <c r="O71" i="70"/>
  <c r="O67" i="72"/>
  <c r="L66" i="73" s="1"/>
  <c r="G71" i="70"/>
  <c r="G67" i="72"/>
  <c r="F66" i="73" s="1"/>
  <c r="F64" i="74" s="1"/>
  <c r="F74" i="74" s="1"/>
  <c r="M71" i="70"/>
  <c r="M67" i="72"/>
  <c r="K66" i="73" s="1"/>
  <c r="K64" i="74" s="1"/>
  <c r="J71" i="70"/>
  <c r="J67" i="72"/>
  <c r="H66" i="73" s="1"/>
  <c r="H64" i="74" s="1"/>
  <c r="H74" i="74" s="1"/>
  <c r="D67" i="72"/>
  <c r="C66" i="73" s="1"/>
  <c r="G75" i="73"/>
  <c r="I76" i="72"/>
  <c r="I80" i="71"/>
  <c r="I80" i="70"/>
  <c r="I78" i="67"/>
  <c r="I75" i="68"/>
  <c r="I80" i="66"/>
  <c r="I66" i="64"/>
  <c r="I77" i="63"/>
  <c r="I84" i="50"/>
  <c r="C21" i="73"/>
  <c r="C38" i="73" s="1"/>
  <c r="C19" i="74"/>
  <c r="C37" i="74" s="1"/>
  <c r="D19" i="72"/>
  <c r="D40" i="72" s="1"/>
  <c r="D18" i="71"/>
  <c r="D44" i="71" s="1"/>
  <c r="D18" i="70"/>
  <c r="D59" i="70" s="1"/>
  <c r="D17" i="68"/>
  <c r="D39" i="68" s="1"/>
  <c r="D50" i="68" s="1"/>
  <c r="D20" i="67"/>
  <c r="D42" i="67" s="1"/>
  <c r="H21" i="73"/>
  <c r="H38" i="73" s="1"/>
  <c r="G19" i="74"/>
  <c r="G37" i="74" s="1"/>
  <c r="G48" i="74" s="1"/>
  <c r="J19" i="72"/>
  <c r="J40" i="72" s="1"/>
  <c r="J18" i="71"/>
  <c r="J44" i="71" s="1"/>
  <c r="J17" i="68"/>
  <c r="J39" i="68" s="1"/>
  <c r="J18" i="70"/>
  <c r="J44" i="70" s="1"/>
  <c r="J20" i="67"/>
  <c r="J42" i="67" s="1"/>
  <c r="E76" i="72"/>
  <c r="E75" i="68"/>
  <c r="E80" i="70"/>
  <c r="E78" i="67"/>
  <c r="E80" i="71"/>
  <c r="E80" i="66"/>
  <c r="E66" i="64"/>
  <c r="E77" i="63"/>
  <c r="E84" i="50"/>
  <c r="K19" i="74"/>
  <c r="K37" i="74" s="1"/>
  <c r="K48" i="74" s="1"/>
  <c r="L21" i="73"/>
  <c r="L38" i="73" s="1"/>
  <c r="O18" i="71"/>
  <c r="O44" i="71" s="1"/>
  <c r="O19" i="72"/>
  <c r="O40" i="72" s="1"/>
  <c r="O17" i="68"/>
  <c r="O39" i="68" s="1"/>
  <c r="O18" i="70"/>
  <c r="O44" i="70" s="1"/>
  <c r="O20" i="67"/>
  <c r="O42" i="67" s="1"/>
  <c r="E19" i="74"/>
  <c r="E37" i="74" s="1"/>
  <c r="E48" i="74" s="1"/>
  <c r="F21" i="73"/>
  <c r="F38" i="73" s="1"/>
  <c r="G18" i="71"/>
  <c r="G44" i="71" s="1"/>
  <c r="G19" i="72"/>
  <c r="G40" i="72" s="1"/>
  <c r="G18" i="70"/>
  <c r="G44" i="70" s="1"/>
  <c r="G17" i="68"/>
  <c r="G39" i="68" s="1"/>
  <c r="G20" i="67"/>
  <c r="G42" i="67" s="1"/>
  <c r="C76" i="72"/>
  <c r="K21" i="73"/>
  <c r="K38" i="73" s="1"/>
  <c r="J19" i="74"/>
  <c r="J37" i="74" s="1"/>
  <c r="J48" i="74" s="1"/>
  <c r="M18" i="71"/>
  <c r="M44" i="71" s="1"/>
  <c r="M19" i="72"/>
  <c r="M40" i="72" s="1"/>
  <c r="M18" i="70"/>
  <c r="M44" i="70" s="1"/>
  <c r="M17" i="68"/>
  <c r="M39" i="68" s="1"/>
  <c r="M20" i="67"/>
  <c r="M42" i="67" s="1"/>
  <c r="D74" i="74"/>
  <c r="F75" i="68"/>
  <c r="F78" i="67"/>
  <c r="F76" i="72"/>
  <c r="F80" i="71"/>
  <c r="F80" i="70"/>
  <c r="E75" i="73"/>
  <c r="F80" i="66"/>
  <c r="F66" i="64"/>
  <c r="F77" i="63"/>
  <c r="F84" i="50"/>
  <c r="J74" i="72"/>
  <c r="G50" i="25"/>
  <c r="E66" i="25"/>
  <c r="E50" i="25" s="1"/>
  <c r="C66" i="25"/>
  <c r="C50" i="25" s="1"/>
  <c r="F66" i="25"/>
  <c r="F50" i="25" s="1"/>
  <c r="P87" i="25"/>
  <c r="P52" i="25"/>
  <c r="P84" i="25"/>
  <c r="P88" i="25"/>
  <c r="P85" i="25"/>
  <c r="H18" i="71"/>
  <c r="H44" i="71" s="1"/>
  <c r="H19" i="72"/>
  <c r="H40" i="72" s="1"/>
  <c r="H51" i="72" s="1"/>
  <c r="H18" i="70"/>
  <c r="H44" i="70" s="1"/>
  <c r="H17" i="68"/>
  <c r="H39" i="68" s="1"/>
  <c r="H20" i="67"/>
  <c r="H42" i="67" s="1"/>
  <c r="M21" i="66"/>
  <c r="M17" i="64"/>
  <c r="G21" i="66"/>
  <c r="G17" i="64"/>
  <c r="J21" i="66"/>
  <c r="J17" i="64"/>
  <c r="O21" i="66"/>
  <c r="O17" i="64"/>
  <c r="N21" i="66"/>
  <c r="N17" i="64"/>
  <c r="H21" i="66"/>
  <c r="H43" i="66" s="1"/>
  <c r="H17" i="64"/>
  <c r="D21" i="66"/>
  <c r="D17" i="64"/>
  <c r="D17" i="25"/>
  <c r="D17" i="63"/>
  <c r="D41" i="63" s="1"/>
  <c r="D17" i="62"/>
  <c r="D43" i="62" s="1"/>
  <c r="D17" i="50"/>
  <c r="D42" i="50" s="1"/>
  <c r="D53" i="50" s="1"/>
  <c r="O17" i="25"/>
  <c r="O17" i="63"/>
  <c r="O41" i="63" s="1"/>
  <c r="O17" i="62"/>
  <c r="O17" i="50"/>
  <c r="O42" i="50" s="1"/>
  <c r="O53" i="50" s="1"/>
  <c r="K17" i="25"/>
  <c r="K17" i="63"/>
  <c r="K41" i="63" s="1"/>
  <c r="K17" i="62"/>
  <c r="K17" i="50"/>
  <c r="K42" i="50" s="1"/>
  <c r="K53" i="50" s="1"/>
  <c r="G17" i="25"/>
  <c r="G17" i="63"/>
  <c r="G41" i="63" s="1"/>
  <c r="G17" i="62"/>
  <c r="G17" i="50"/>
  <c r="G42" i="50" s="1"/>
  <c r="G53" i="50" s="1"/>
  <c r="M17" i="25"/>
  <c r="M17" i="63"/>
  <c r="M41" i="63" s="1"/>
  <c r="M17" i="62"/>
  <c r="M17" i="50"/>
  <c r="M42" i="50" s="1"/>
  <c r="M53" i="50" s="1"/>
  <c r="L17" i="25"/>
  <c r="L17" i="63"/>
  <c r="L41" i="63" s="1"/>
  <c r="L17" i="62"/>
  <c r="L17" i="50"/>
  <c r="L42" i="50" s="1"/>
  <c r="L53" i="50" s="1"/>
  <c r="H17" i="25"/>
  <c r="H17" i="63"/>
  <c r="H41" i="63" s="1"/>
  <c r="H17" i="62"/>
  <c r="H17" i="50"/>
  <c r="H42" i="50" s="1"/>
  <c r="H53" i="50" s="1"/>
  <c r="N17" i="25"/>
  <c r="N17" i="63"/>
  <c r="N41" i="63" s="1"/>
  <c r="N17" i="62"/>
  <c r="N17" i="50"/>
  <c r="N42" i="50" s="1"/>
  <c r="N53" i="50" s="1"/>
  <c r="J17" i="25"/>
  <c r="J17" i="63"/>
  <c r="J41" i="63" s="1"/>
  <c r="J17" i="62"/>
  <c r="J17" i="50"/>
  <c r="J42" i="50" s="1"/>
  <c r="J53" i="50" s="1"/>
  <c r="J29" i="62"/>
  <c r="P29" i="62" s="1"/>
  <c r="P53" i="25"/>
  <c r="H43" i="1"/>
  <c r="O43" i="1"/>
  <c r="K43" i="1"/>
  <c r="P43" i="1"/>
  <c r="N43" i="1"/>
  <c r="M43" i="1"/>
  <c r="I43" i="1"/>
  <c r="E43" i="1"/>
  <c r="B75" i="50" l="1"/>
  <c r="B68" i="63" s="1"/>
  <c r="B57" i="64" s="1"/>
  <c r="B70" i="66" s="1"/>
  <c r="B68" i="67" s="1"/>
  <c r="B65" i="68" s="1"/>
  <c r="B70" i="70" s="1"/>
  <c r="B70" i="71" s="1"/>
  <c r="B66" i="72" s="1"/>
  <c r="B65" i="73" s="1"/>
  <c r="M76" i="50"/>
  <c r="M69" i="63" s="1"/>
  <c r="M58" i="64" s="1"/>
  <c r="M71" i="66" s="1"/>
  <c r="M69" i="67" s="1"/>
  <c r="M66" i="68" s="1"/>
  <c r="D76" i="50"/>
  <c r="D69" i="63" s="1"/>
  <c r="D58" i="64" s="1"/>
  <c r="D71" i="66" s="1"/>
  <c r="D69" i="67" s="1"/>
  <c r="G76" i="50"/>
  <c r="G69" i="63" s="1"/>
  <c r="G58" i="64" s="1"/>
  <c r="G71" i="66" s="1"/>
  <c r="G69" i="67" s="1"/>
  <c r="G66" i="68" s="1"/>
  <c r="G75" i="68" s="1"/>
  <c r="J76" i="50"/>
  <c r="J69" i="63" s="1"/>
  <c r="J58" i="64" s="1"/>
  <c r="J71" i="66" s="1"/>
  <c r="J69" i="67" s="1"/>
  <c r="J66" i="68" s="1"/>
  <c r="J75" i="68" s="1"/>
  <c r="O76" i="50"/>
  <c r="O69" i="63" s="1"/>
  <c r="O58" i="64" s="1"/>
  <c r="O71" i="66" s="1"/>
  <c r="O69" i="67" s="1"/>
  <c r="O66" i="68" s="1"/>
  <c r="J42" i="25"/>
  <c r="F42" i="25"/>
  <c r="L42" i="25"/>
  <c r="M42" i="25"/>
  <c r="E42" i="25"/>
  <c r="K42" i="25"/>
  <c r="D42" i="25"/>
  <c r="B42" i="25"/>
  <c r="O42" i="25"/>
  <c r="G42" i="25"/>
  <c r="N42" i="25"/>
  <c r="C92" i="25"/>
  <c r="C42" i="25"/>
  <c r="P95" i="25"/>
  <c r="H62" i="25"/>
  <c r="H48" i="25"/>
  <c r="H46" i="25"/>
  <c r="H64" i="25"/>
  <c r="G46" i="25"/>
  <c r="G64" i="25"/>
  <c r="G62" i="25"/>
  <c r="G48" i="25"/>
  <c r="J92" i="25"/>
  <c r="I96" i="25"/>
  <c r="G96" i="25"/>
  <c r="E92" i="25"/>
  <c r="K92" i="25"/>
  <c r="D92" i="25"/>
  <c r="H96" i="25"/>
  <c r="F92" i="25"/>
  <c r="L92" i="25"/>
  <c r="M92" i="25"/>
  <c r="B92" i="25"/>
  <c r="O92" i="25"/>
  <c r="G92" i="25"/>
  <c r="N92" i="25"/>
  <c r="G65" i="25"/>
  <c r="J51" i="72"/>
  <c r="J96" i="72"/>
  <c r="O51" i="72"/>
  <c r="O96" i="72"/>
  <c r="M51" i="72"/>
  <c r="M96" i="72"/>
  <c r="G51" i="72"/>
  <c r="G96" i="72"/>
  <c r="H117" i="66"/>
  <c r="H55" i="66"/>
  <c r="D51" i="72"/>
  <c r="D96" i="72"/>
  <c r="C90" i="74"/>
  <c r="C48" i="74"/>
  <c r="H55" i="71"/>
  <c r="H121" i="71"/>
  <c r="O55" i="71"/>
  <c r="O121" i="71"/>
  <c r="D55" i="71"/>
  <c r="D121" i="71"/>
  <c r="M55" i="71"/>
  <c r="M121" i="71"/>
  <c r="G55" i="71"/>
  <c r="G121" i="71"/>
  <c r="J55" i="71"/>
  <c r="J121" i="71"/>
  <c r="H55" i="70"/>
  <c r="H123" i="70"/>
  <c r="M55" i="70"/>
  <c r="M123" i="70"/>
  <c r="G55" i="70"/>
  <c r="G123" i="70"/>
  <c r="J55" i="70"/>
  <c r="J123" i="70"/>
  <c r="J53" i="63"/>
  <c r="J93" i="63"/>
  <c r="N53" i="63"/>
  <c r="N93" i="63"/>
  <c r="H53" i="63"/>
  <c r="H93" i="63"/>
  <c r="L53" i="63"/>
  <c r="L93" i="63"/>
  <c r="M53" i="63"/>
  <c r="M93" i="63"/>
  <c r="G53" i="63"/>
  <c r="G93" i="63"/>
  <c r="K53" i="63"/>
  <c r="K93" i="63"/>
  <c r="O53" i="63"/>
  <c r="O93" i="63"/>
  <c r="D53" i="63"/>
  <c r="D93" i="63"/>
  <c r="O55" i="70"/>
  <c r="O123" i="70"/>
  <c r="G50" i="68"/>
  <c r="G95" i="68"/>
  <c r="O50" i="68"/>
  <c r="O95" i="68"/>
  <c r="J50" i="68"/>
  <c r="J95" i="68"/>
  <c r="M50" i="68"/>
  <c r="M95" i="68"/>
  <c r="H50" i="68"/>
  <c r="H95" i="68"/>
  <c r="H53" i="67"/>
  <c r="H103" i="67"/>
  <c r="O53" i="67"/>
  <c r="O103" i="67"/>
  <c r="M53" i="67"/>
  <c r="M103" i="67"/>
  <c r="G53" i="67"/>
  <c r="G103" i="67"/>
  <c r="D53" i="67"/>
  <c r="D103" i="67"/>
  <c r="J53" i="67"/>
  <c r="J103" i="67"/>
  <c r="E90" i="74"/>
  <c r="G90" i="74"/>
  <c r="J90" i="74"/>
  <c r="K90" i="74"/>
  <c r="L51" i="73"/>
  <c r="L99" i="73"/>
  <c r="H51" i="73"/>
  <c r="H99" i="73"/>
  <c r="F51" i="73"/>
  <c r="F99" i="73"/>
  <c r="K51" i="73"/>
  <c r="K99" i="73"/>
  <c r="C51" i="73"/>
  <c r="C99" i="73"/>
  <c r="C64" i="74"/>
  <c r="L64" i="74" s="1"/>
  <c r="M66" i="73"/>
  <c r="I82" i="50"/>
  <c r="I75" i="63" s="1"/>
  <c r="I64" i="64" s="1"/>
  <c r="I78" i="66" s="1"/>
  <c r="I76" i="67" s="1"/>
  <c r="I73" i="68" s="1"/>
  <c r="I78" i="70" s="1"/>
  <c r="I78" i="71" s="1"/>
  <c r="I74" i="72" s="1"/>
  <c r="G73" i="73" s="1"/>
  <c r="F72" i="74" s="1"/>
  <c r="H82" i="50"/>
  <c r="H75" i="63" s="1"/>
  <c r="H64" i="64" s="1"/>
  <c r="H78" i="66" s="1"/>
  <c r="H76" i="67" s="1"/>
  <c r="H73" i="68" s="1"/>
  <c r="H78" i="70" s="1"/>
  <c r="H78" i="71" s="1"/>
  <c r="H74" i="72" s="1"/>
  <c r="L80" i="71"/>
  <c r="L80" i="70"/>
  <c r="L75" i="68"/>
  <c r="L76" i="72"/>
  <c r="J75" i="73"/>
  <c r="I74" i="74"/>
  <c r="L78" i="67"/>
  <c r="L66" i="64"/>
  <c r="L80" i="66"/>
  <c r="L77" i="63"/>
  <c r="L84" i="50"/>
  <c r="N75" i="68"/>
  <c r="N78" i="67"/>
  <c r="N80" i="71"/>
  <c r="N80" i="70"/>
  <c r="N80" i="66"/>
  <c r="N66" i="64"/>
  <c r="N77" i="63"/>
  <c r="N84" i="50"/>
  <c r="O42" i="72"/>
  <c r="O95" i="72"/>
  <c r="J46" i="71"/>
  <c r="J120" i="71"/>
  <c r="D42" i="72"/>
  <c r="D95" i="72"/>
  <c r="M42" i="72"/>
  <c r="M95" i="72"/>
  <c r="C80" i="66"/>
  <c r="C78" i="67"/>
  <c r="G95" i="72"/>
  <c r="G42" i="72"/>
  <c r="O102" i="67"/>
  <c r="O44" i="67"/>
  <c r="O46" i="71"/>
  <c r="O120" i="71"/>
  <c r="J102" i="67"/>
  <c r="J44" i="67"/>
  <c r="J95" i="72"/>
  <c r="J42" i="72"/>
  <c r="D41" i="68"/>
  <c r="L37" i="74"/>
  <c r="K98" i="73"/>
  <c r="K41" i="73"/>
  <c r="C77" i="63"/>
  <c r="C80" i="71"/>
  <c r="E89" i="74"/>
  <c r="E39" i="74"/>
  <c r="D44" i="67"/>
  <c r="D102" i="67"/>
  <c r="K75" i="73"/>
  <c r="M76" i="72"/>
  <c r="M75" i="68"/>
  <c r="J74" i="74"/>
  <c r="M80" i="70"/>
  <c r="M78" i="67"/>
  <c r="M80" i="71"/>
  <c r="M80" i="66"/>
  <c r="M66" i="64"/>
  <c r="M77" i="63"/>
  <c r="M84" i="50"/>
  <c r="G80" i="70"/>
  <c r="G80" i="71"/>
  <c r="G76" i="72"/>
  <c r="E74" i="74"/>
  <c r="F75" i="73"/>
  <c r="M102" i="67"/>
  <c r="M44" i="67"/>
  <c r="M120" i="71"/>
  <c r="M46" i="71"/>
  <c r="C66" i="64"/>
  <c r="C80" i="70"/>
  <c r="G102" i="67"/>
  <c r="G44" i="67"/>
  <c r="G46" i="71"/>
  <c r="G120" i="71"/>
  <c r="L98" i="73"/>
  <c r="L41" i="73"/>
  <c r="M38" i="73"/>
  <c r="D80" i="71"/>
  <c r="D78" i="67"/>
  <c r="C75" i="73"/>
  <c r="D80" i="66"/>
  <c r="D77" i="63"/>
  <c r="O80" i="71"/>
  <c r="O75" i="68"/>
  <c r="O76" i="72"/>
  <c r="K74" i="74"/>
  <c r="O80" i="70"/>
  <c r="L75" i="73"/>
  <c r="O78" i="67"/>
  <c r="O66" i="64"/>
  <c r="O80" i="66"/>
  <c r="O77" i="63"/>
  <c r="O84" i="50"/>
  <c r="O81" i="62"/>
  <c r="H80" i="71"/>
  <c r="H80" i="70"/>
  <c r="H75" i="68"/>
  <c r="H78" i="67"/>
  <c r="H76" i="72"/>
  <c r="H66" i="64"/>
  <c r="H80" i="66"/>
  <c r="H77" i="63"/>
  <c r="H84" i="50"/>
  <c r="G74" i="74"/>
  <c r="J80" i="71"/>
  <c r="J80" i="70"/>
  <c r="H75" i="73"/>
  <c r="J76" i="72"/>
  <c r="M94" i="68"/>
  <c r="M41" i="68"/>
  <c r="J39" i="74"/>
  <c r="J89" i="74"/>
  <c r="C84" i="50"/>
  <c r="C75" i="68"/>
  <c r="G41" i="68"/>
  <c r="G94" i="68"/>
  <c r="F98" i="73"/>
  <c r="F41" i="73"/>
  <c r="O94" i="68"/>
  <c r="O41" i="68"/>
  <c r="K89" i="74"/>
  <c r="K39" i="74"/>
  <c r="J94" i="68"/>
  <c r="J41" i="68"/>
  <c r="H98" i="73"/>
  <c r="H41" i="73"/>
  <c r="D46" i="71"/>
  <c r="D120" i="71"/>
  <c r="C31" i="72"/>
  <c r="I33" i="74"/>
  <c r="C32" i="72"/>
  <c r="P32" i="72" s="1"/>
  <c r="C69" i="74"/>
  <c r="H33" i="74"/>
  <c r="D70" i="74"/>
  <c r="G69" i="74"/>
  <c r="B69" i="74"/>
  <c r="H69" i="74"/>
  <c r="J69" i="74"/>
  <c r="D69" i="74"/>
  <c r="I69" i="74"/>
  <c r="H73" i="73"/>
  <c r="P51" i="72"/>
  <c r="P40" i="72"/>
  <c r="P44" i="71"/>
  <c r="N31" i="64"/>
  <c r="M31" i="64"/>
  <c r="O31" i="64"/>
  <c r="G31" i="64"/>
  <c r="D31" i="64"/>
  <c r="J31" i="64"/>
  <c r="H31" i="64"/>
  <c r="P44" i="70"/>
  <c r="P42" i="67"/>
  <c r="D43" i="66"/>
  <c r="M43" i="66"/>
  <c r="J43" i="66"/>
  <c r="G43" i="66"/>
  <c r="G55" i="66" s="1"/>
  <c r="N43" i="66"/>
  <c r="H121" i="66"/>
  <c r="O43" i="66"/>
  <c r="P39" i="68"/>
  <c r="P75" i="67"/>
  <c r="G97" i="62"/>
  <c r="G107" i="62" s="1"/>
  <c r="G45" i="62"/>
  <c r="H97" i="62"/>
  <c r="H45" i="62"/>
  <c r="J92" i="63"/>
  <c r="N92" i="63"/>
  <c r="H92" i="63"/>
  <c r="L92" i="63"/>
  <c r="M92" i="63"/>
  <c r="G92" i="63"/>
  <c r="K92" i="63"/>
  <c r="O92" i="63"/>
  <c r="D92" i="63"/>
  <c r="J43" i="63"/>
  <c r="N43" i="63"/>
  <c r="H43" i="63"/>
  <c r="L43" i="63"/>
  <c r="M43" i="63"/>
  <c r="G43" i="63"/>
  <c r="K43" i="63"/>
  <c r="O43" i="63"/>
  <c r="H99" i="50"/>
  <c r="H44" i="50"/>
  <c r="M44" i="50"/>
  <c r="M99" i="50"/>
  <c r="K44" i="50"/>
  <c r="K99" i="50"/>
  <c r="O44" i="50"/>
  <c r="O99" i="50"/>
  <c r="J44" i="50"/>
  <c r="J99" i="50"/>
  <c r="N99" i="50"/>
  <c r="N44" i="50"/>
  <c r="L44" i="50"/>
  <c r="L99" i="50"/>
  <c r="G99" i="50"/>
  <c r="G44" i="50"/>
  <c r="P31" i="25"/>
  <c r="P35" i="25"/>
  <c r="P50" i="25"/>
  <c r="P26" i="25"/>
  <c r="P28" i="25"/>
  <c r="P66" i="25"/>
  <c r="P34" i="25"/>
  <c r="P25" i="25"/>
  <c r="P30" i="25"/>
  <c r="J93" i="25"/>
  <c r="J98" i="25" s="1"/>
  <c r="J100" i="25" s="1"/>
  <c r="P35" i="66"/>
  <c r="P42" i="50"/>
  <c r="P43" i="62"/>
  <c r="P41" i="63"/>
  <c r="J25" i="62"/>
  <c r="J96" i="62" s="1"/>
  <c r="J105" i="25"/>
  <c r="M93" i="25"/>
  <c r="M98" i="25" s="1"/>
  <c r="I93" i="25"/>
  <c r="I98" i="25" s="1"/>
  <c r="I102" i="25" s="1"/>
  <c r="D93" i="25"/>
  <c r="D98" i="25" s="1"/>
  <c r="K93" i="25"/>
  <c r="K98" i="25" s="1"/>
  <c r="F93" i="25"/>
  <c r="F98" i="25" s="1"/>
  <c r="F102" i="25" s="1"/>
  <c r="E93" i="25"/>
  <c r="E98" i="25" s="1"/>
  <c r="E102" i="25" s="1"/>
  <c r="N93" i="25"/>
  <c r="N98" i="25" s="1"/>
  <c r="O93" i="25"/>
  <c r="O98" i="25" s="1"/>
  <c r="O102" i="25" s="1"/>
  <c r="G93" i="25"/>
  <c r="G98" i="25" s="1"/>
  <c r="L93" i="25"/>
  <c r="L98" i="25" s="1"/>
  <c r="C93" i="25"/>
  <c r="C98" i="25" s="1"/>
  <c r="H107" i="62" l="1"/>
  <c r="H109" i="62"/>
  <c r="H108" i="62"/>
  <c r="G78" i="67"/>
  <c r="P75" i="50"/>
  <c r="P73" i="62"/>
  <c r="D66" i="64"/>
  <c r="G77" i="63"/>
  <c r="G84" i="50"/>
  <c r="B63" i="74"/>
  <c r="L63" i="74" s="1"/>
  <c r="J66" i="64"/>
  <c r="J80" i="66"/>
  <c r="G80" i="66"/>
  <c r="D84" i="50"/>
  <c r="G66" i="64"/>
  <c r="J84" i="50"/>
  <c r="J78" i="67"/>
  <c r="J77" i="63"/>
  <c r="H92" i="25"/>
  <c r="H42" i="25"/>
  <c r="I92" i="25"/>
  <c r="I42" i="25"/>
  <c r="P24" i="25"/>
  <c r="H93" i="25"/>
  <c r="H98" i="25" s="1"/>
  <c r="C103" i="25"/>
  <c r="L103" i="25"/>
  <c r="G103" i="25"/>
  <c r="M103" i="25"/>
  <c r="N103" i="25"/>
  <c r="K103" i="25"/>
  <c r="D103" i="25"/>
  <c r="P62" i="25"/>
  <c r="P64" i="25"/>
  <c r="P63" i="25"/>
  <c r="H65" i="25"/>
  <c r="P65" i="25" s="1"/>
  <c r="P46" i="25"/>
  <c r="P47" i="25"/>
  <c r="P48" i="25"/>
  <c r="P94" i="25"/>
  <c r="O103" i="25"/>
  <c r="O110" i="62" s="1"/>
  <c r="I103" i="25"/>
  <c r="I110" i="62" s="1"/>
  <c r="F103" i="25"/>
  <c r="E103" i="25"/>
  <c r="E110" i="62" s="1"/>
  <c r="D117" i="66"/>
  <c r="D55" i="66"/>
  <c r="O117" i="66"/>
  <c r="O55" i="66"/>
  <c r="J117" i="66"/>
  <c r="J55" i="66"/>
  <c r="N117" i="66"/>
  <c r="N55" i="66"/>
  <c r="M117" i="66"/>
  <c r="M55" i="66"/>
  <c r="N42" i="64"/>
  <c r="N82" i="64"/>
  <c r="J42" i="64"/>
  <c r="J82" i="64"/>
  <c r="M42" i="64"/>
  <c r="M82" i="64"/>
  <c r="D42" i="64"/>
  <c r="D82" i="64"/>
  <c r="G42" i="64"/>
  <c r="G82" i="64"/>
  <c r="H42" i="64"/>
  <c r="H82" i="64"/>
  <c r="O42" i="64"/>
  <c r="O82" i="64"/>
  <c r="C96" i="72"/>
  <c r="M121" i="66"/>
  <c r="M123" i="66" s="1"/>
  <c r="M124" i="66" s="1"/>
  <c r="M125" i="66" s="1"/>
  <c r="C74" i="74"/>
  <c r="L74" i="74" s="1"/>
  <c r="P96" i="25"/>
  <c r="P65" i="63"/>
  <c r="M75" i="73"/>
  <c r="P75" i="68"/>
  <c r="P58" i="64"/>
  <c r="P77" i="63"/>
  <c r="P74" i="62"/>
  <c r="P66" i="68"/>
  <c r="P76" i="50"/>
  <c r="M51" i="73"/>
  <c r="C98" i="73"/>
  <c r="M98" i="73" s="1"/>
  <c r="C41" i="73"/>
  <c r="P80" i="70"/>
  <c r="P77" i="25"/>
  <c r="P80" i="71"/>
  <c r="P69" i="63"/>
  <c r="D76" i="72"/>
  <c r="P67" i="72"/>
  <c r="P71" i="70"/>
  <c r="P70" i="25"/>
  <c r="P71" i="71"/>
  <c r="L48" i="74"/>
  <c r="C39" i="74"/>
  <c r="C89" i="74"/>
  <c r="P69" i="67"/>
  <c r="P71" i="66"/>
  <c r="N76" i="72"/>
  <c r="N36" i="72"/>
  <c r="N34" i="72" s="1"/>
  <c r="P34" i="72" s="1"/>
  <c r="H89" i="74"/>
  <c r="H39" i="74"/>
  <c r="O116" i="66"/>
  <c r="O121" i="66"/>
  <c r="O123" i="66" s="1"/>
  <c r="O124" i="66" s="1"/>
  <c r="O125" i="66" s="1"/>
  <c r="O52" i="66" s="1"/>
  <c r="O59" i="66" s="1"/>
  <c r="I89" i="74"/>
  <c r="I39" i="74"/>
  <c r="H31" i="72"/>
  <c r="H96" i="72" s="1"/>
  <c r="B70" i="74"/>
  <c r="N31" i="72"/>
  <c r="G70" i="74"/>
  <c r="C70" i="74"/>
  <c r="L115" i="74"/>
  <c r="L69" i="74"/>
  <c r="G89" i="74"/>
  <c r="G39" i="74"/>
  <c r="H70" i="74"/>
  <c r="J70" i="74"/>
  <c r="I70" i="74"/>
  <c r="G72" i="74"/>
  <c r="L106" i="74"/>
  <c r="P55" i="71"/>
  <c r="H120" i="71"/>
  <c r="P120" i="71" s="1"/>
  <c r="H46" i="71"/>
  <c r="O45" i="66"/>
  <c r="P43" i="66"/>
  <c r="G108" i="62"/>
  <c r="G109" i="62" s="1"/>
  <c r="O33" i="64"/>
  <c r="O81" i="64"/>
  <c r="G81" i="64"/>
  <c r="G33" i="64"/>
  <c r="H81" i="64"/>
  <c r="H33" i="64"/>
  <c r="J81" i="64"/>
  <c r="J33" i="64"/>
  <c r="M81" i="64"/>
  <c r="M33" i="64"/>
  <c r="N81" i="64"/>
  <c r="N33" i="64"/>
  <c r="P31" i="64"/>
  <c r="H123" i="66"/>
  <c r="H124" i="66" s="1"/>
  <c r="H125" i="66" s="1"/>
  <c r="P55" i="70"/>
  <c r="H44" i="67"/>
  <c r="P44" i="67" s="1"/>
  <c r="H102" i="67"/>
  <c r="P102" i="67" s="1"/>
  <c r="P53" i="67"/>
  <c r="J121" i="66"/>
  <c r="J116" i="66"/>
  <c r="J45" i="66"/>
  <c r="G117" i="66"/>
  <c r="P71" i="68"/>
  <c r="P50" i="68"/>
  <c r="H94" i="68"/>
  <c r="P94" i="68" s="1"/>
  <c r="H41" i="68"/>
  <c r="P41" i="68" s="1"/>
  <c r="P40" i="25"/>
  <c r="P68" i="63"/>
  <c r="P57" i="64"/>
  <c r="P42" i="64"/>
  <c r="D81" i="64"/>
  <c r="D33" i="64"/>
  <c r="D45" i="66"/>
  <c r="D116" i="66"/>
  <c r="J97" i="62"/>
  <c r="D43" i="63"/>
  <c r="P92" i="63"/>
  <c r="P53" i="63"/>
  <c r="D97" i="62"/>
  <c r="D107" i="62" s="1"/>
  <c r="D45" i="62"/>
  <c r="P54" i="62"/>
  <c r="P53" i="50"/>
  <c r="D99" i="50"/>
  <c r="P99" i="50" s="1"/>
  <c r="D44" i="50"/>
  <c r="P25" i="62"/>
  <c r="J45" i="62"/>
  <c r="I99" i="25"/>
  <c r="I105" i="25" s="1"/>
  <c r="I112" i="62" s="1"/>
  <c r="I111" i="50" s="1"/>
  <c r="I104" i="63" s="1"/>
  <c r="N71" i="25"/>
  <c r="E71" i="25"/>
  <c r="F71" i="25"/>
  <c r="K71" i="25"/>
  <c r="H71" i="25"/>
  <c r="L71" i="25"/>
  <c r="M71" i="25"/>
  <c r="B71" i="25"/>
  <c r="G71" i="25"/>
  <c r="D71" i="25"/>
  <c r="I71" i="25"/>
  <c r="O71" i="25"/>
  <c r="J71" i="25"/>
  <c r="C71" i="25"/>
  <c r="B61" i="43"/>
  <c r="B60" i="43"/>
  <c r="B59" i="43"/>
  <c r="B58" i="43"/>
  <c r="B57" i="43"/>
  <c r="B56" i="43"/>
  <c r="B55" i="43"/>
  <c r="B54" i="43"/>
  <c r="B53" i="43"/>
  <c r="B52" i="43"/>
  <c r="C51" i="43"/>
  <c r="B51" i="43"/>
  <c r="C50" i="43"/>
  <c r="B50" i="43"/>
  <c r="C49" i="43"/>
  <c r="B49" i="43"/>
  <c r="C48" i="43"/>
  <c r="B48" i="43"/>
  <c r="C47" i="43"/>
  <c r="B47" i="43"/>
  <c r="C46" i="43"/>
  <c r="B46" i="43"/>
  <c r="C45" i="43"/>
  <c r="B45" i="43"/>
  <c r="C44" i="43"/>
  <c r="B44" i="43"/>
  <c r="C43" i="43"/>
  <c r="B43" i="43"/>
  <c r="C42" i="43"/>
  <c r="B42" i="43"/>
  <c r="C41" i="43"/>
  <c r="B41" i="43"/>
  <c r="C40" i="43"/>
  <c r="B40" i="43"/>
  <c r="C39" i="43"/>
  <c r="B39" i="43"/>
  <c r="C38" i="43"/>
  <c r="B38" i="43"/>
  <c r="J61" i="43"/>
  <c r="J57" i="43"/>
  <c r="J53" i="43"/>
  <c r="A61" i="43"/>
  <c r="A60" i="43"/>
  <c r="J60" i="43" s="1"/>
  <c r="A59" i="43"/>
  <c r="J59" i="43" s="1"/>
  <c r="A58" i="43"/>
  <c r="J58" i="43" s="1"/>
  <c r="A57" i="43"/>
  <c r="A56" i="43"/>
  <c r="J56" i="43" s="1"/>
  <c r="A55" i="43"/>
  <c r="J55" i="43" s="1"/>
  <c r="A54" i="43"/>
  <c r="J54" i="43" s="1"/>
  <c r="A53" i="43"/>
  <c r="A52" i="43"/>
  <c r="J52" i="43" s="1"/>
  <c r="A51" i="43"/>
  <c r="J51" i="43" s="1"/>
  <c r="I33" i="43"/>
  <c r="K8" i="43"/>
  <c r="K9" i="43" s="1"/>
  <c r="K10" i="43" s="1"/>
  <c r="K11" i="43" s="1"/>
  <c r="K12" i="43" s="1"/>
  <c r="K13" i="43" s="1"/>
  <c r="K14" i="43" s="1"/>
  <c r="K15" i="43" s="1"/>
  <c r="K16" i="43" s="1"/>
  <c r="K17" i="43" s="1"/>
  <c r="K18" i="43" s="1"/>
  <c r="K19" i="43" s="1"/>
  <c r="K20" i="43" s="1"/>
  <c r="P78" i="67" l="1"/>
  <c r="H52" i="62"/>
  <c r="H60" i="62" s="1"/>
  <c r="H62" i="62" s="1"/>
  <c r="G52" i="62"/>
  <c r="G60" i="62" s="1"/>
  <c r="G62" i="62" s="1"/>
  <c r="P66" i="64"/>
  <c r="P81" i="62"/>
  <c r="H103" i="25"/>
  <c r="H110" i="62" s="1"/>
  <c r="H102" i="25"/>
  <c r="B33" i="74"/>
  <c r="P84" i="50"/>
  <c r="I100" i="25"/>
  <c r="I101" i="25" s="1"/>
  <c r="H99" i="25"/>
  <c r="N96" i="72"/>
  <c r="P43" i="63"/>
  <c r="M41" i="73"/>
  <c r="P70" i="66"/>
  <c r="G82" i="50"/>
  <c r="D54" i="68"/>
  <c r="D56" i="68" s="1"/>
  <c r="H95" i="72"/>
  <c r="H42" i="72"/>
  <c r="P76" i="72"/>
  <c r="P68" i="67"/>
  <c r="O61" i="66"/>
  <c r="L105" i="74"/>
  <c r="L70" i="74"/>
  <c r="P46" i="71"/>
  <c r="F110" i="62"/>
  <c r="P81" i="64"/>
  <c r="P33" i="64"/>
  <c r="J123" i="66"/>
  <c r="J124" i="66" s="1"/>
  <c r="J125" i="66" s="1"/>
  <c r="M52" i="66"/>
  <c r="M59" i="66" s="1"/>
  <c r="H52" i="66"/>
  <c r="H59" i="66" s="1"/>
  <c r="G116" i="66"/>
  <c r="G121" i="66"/>
  <c r="G45" i="66"/>
  <c r="P55" i="66"/>
  <c r="P44" i="50"/>
  <c r="P51" i="25"/>
  <c r="B93" i="25"/>
  <c r="P92" i="25"/>
  <c r="P42" i="25"/>
  <c r="P71" i="25"/>
  <c r="P96" i="62"/>
  <c r="H46" i="70"/>
  <c r="H122" i="70"/>
  <c r="D121" i="66"/>
  <c r="I93" i="64"/>
  <c r="I128" i="66" s="1"/>
  <c r="I115" i="67" s="1"/>
  <c r="I106" i="68" s="1"/>
  <c r="I134" i="70" s="1"/>
  <c r="I132" i="71" s="1"/>
  <c r="I107" i="72" s="1"/>
  <c r="G111" i="73" s="1"/>
  <c r="P66" i="62"/>
  <c r="P65" i="62"/>
  <c r="P67" i="62"/>
  <c r="P45" i="62"/>
  <c r="P97" i="62"/>
  <c r="J104" i="62"/>
  <c r="J75" i="62"/>
  <c r="O104" i="62"/>
  <c r="O75" i="62"/>
  <c r="G104" i="62"/>
  <c r="G75" i="62"/>
  <c r="E104" i="62"/>
  <c r="E75" i="62"/>
  <c r="P50" i="62"/>
  <c r="P51" i="62"/>
  <c r="P98" i="62"/>
  <c r="F104" i="62"/>
  <c r="F75" i="62"/>
  <c r="C104" i="62"/>
  <c r="C75" i="62"/>
  <c r="I104" i="62"/>
  <c r="I75" i="62"/>
  <c r="B104" i="62"/>
  <c r="B75" i="62"/>
  <c r="H104" i="62"/>
  <c r="H75" i="62"/>
  <c r="N104" i="62"/>
  <c r="N75" i="62"/>
  <c r="D104" i="62"/>
  <c r="D75" i="62"/>
  <c r="L104" i="62"/>
  <c r="L75" i="62"/>
  <c r="M104" i="62"/>
  <c r="M75" i="62"/>
  <c r="K104" i="62"/>
  <c r="K75" i="62"/>
  <c r="O99" i="25"/>
  <c r="O100" i="25" s="1"/>
  <c r="O101" i="25" s="1"/>
  <c r="M99" i="25"/>
  <c r="N99" i="25"/>
  <c r="G99" i="25"/>
  <c r="K99" i="25"/>
  <c r="D99" i="25"/>
  <c r="D100" i="25" s="1"/>
  <c r="F99" i="25"/>
  <c r="F100" i="25" s="1"/>
  <c r="F101" i="25" s="1"/>
  <c r="C99" i="25"/>
  <c r="E99" i="25"/>
  <c r="E100" i="25" s="1"/>
  <c r="E101" i="25" s="1"/>
  <c r="B99" i="25"/>
  <c r="L99" i="25"/>
  <c r="A50" i="43"/>
  <c r="J50" i="43" s="1"/>
  <c r="A49" i="43"/>
  <c r="J49" i="43" s="1"/>
  <c r="A48" i="43"/>
  <c r="J48" i="43" s="1"/>
  <c r="A47" i="43"/>
  <c r="J47" i="43" s="1"/>
  <c r="A46" i="43"/>
  <c r="J46" i="43" s="1"/>
  <c r="A45" i="43"/>
  <c r="J45" i="43" s="1"/>
  <c r="A44" i="43"/>
  <c r="J44" i="43" s="1"/>
  <c r="A43" i="43"/>
  <c r="J43" i="43" s="1"/>
  <c r="A42" i="43"/>
  <c r="J42" i="43" s="1"/>
  <c r="A41" i="43"/>
  <c r="J41" i="43" s="1"/>
  <c r="A40" i="43"/>
  <c r="J40" i="43" s="1"/>
  <c r="A39" i="43"/>
  <c r="J39" i="43" s="1"/>
  <c r="A38" i="43"/>
  <c r="J38" i="43" s="1"/>
  <c r="I37" i="43"/>
  <c r="H37" i="43"/>
  <c r="G37" i="43"/>
  <c r="F37" i="43"/>
  <c r="E37" i="43"/>
  <c r="D37" i="43"/>
  <c r="P104" i="62" l="1"/>
  <c r="C110" i="62"/>
  <c r="C100" i="25"/>
  <c r="G110" i="62"/>
  <c r="G100" i="25"/>
  <c r="H105" i="25"/>
  <c r="H112" i="62" s="1"/>
  <c r="H111" i="50" s="1"/>
  <c r="H104" i="63" s="1"/>
  <c r="H93" i="64" s="1"/>
  <c r="H128" i="66" s="1"/>
  <c r="H115" i="67" s="1"/>
  <c r="H106" i="68" s="1"/>
  <c r="H134" i="70" s="1"/>
  <c r="H132" i="71" s="1"/>
  <c r="H107" i="72" s="1"/>
  <c r="H100" i="25"/>
  <c r="H101" i="25" s="1"/>
  <c r="K110" i="62"/>
  <c r="K100" i="25"/>
  <c r="L110" i="62"/>
  <c r="L100" i="25"/>
  <c r="N110" i="62"/>
  <c r="N100" i="25"/>
  <c r="M110" i="62"/>
  <c r="M100" i="25"/>
  <c r="G75" i="63"/>
  <c r="P82" i="50"/>
  <c r="P65" i="68"/>
  <c r="M65" i="73"/>
  <c r="D108" i="62"/>
  <c r="D109" i="62" s="1"/>
  <c r="D110" i="62"/>
  <c r="G123" i="66"/>
  <c r="G124" i="66" s="1"/>
  <c r="G125" i="66" s="1"/>
  <c r="J52" i="66"/>
  <c r="J59" i="66" s="1"/>
  <c r="J61" i="66" s="1"/>
  <c r="D123" i="66"/>
  <c r="D124" i="66" s="1"/>
  <c r="D125" i="66" s="1"/>
  <c r="P70" i="70"/>
  <c r="P99" i="25"/>
  <c r="B98" i="25"/>
  <c r="P93" i="25"/>
  <c r="B105" i="25"/>
  <c r="M105" i="25"/>
  <c r="M112" i="62" s="1"/>
  <c r="M111" i="50" s="1"/>
  <c r="M104" i="63" s="1"/>
  <c r="E103" i="50"/>
  <c r="E77" i="50"/>
  <c r="M103" i="50"/>
  <c r="M77" i="50"/>
  <c r="L103" i="50"/>
  <c r="L77" i="50"/>
  <c r="N103" i="50"/>
  <c r="N77" i="50"/>
  <c r="B103" i="50"/>
  <c r="P75" i="62"/>
  <c r="B77" i="50"/>
  <c r="C103" i="50"/>
  <c r="C77" i="50"/>
  <c r="O103" i="50"/>
  <c r="O77" i="50"/>
  <c r="G103" i="50"/>
  <c r="G77" i="50"/>
  <c r="J103" i="50"/>
  <c r="J77" i="50"/>
  <c r="K103" i="50"/>
  <c r="K77" i="50"/>
  <c r="D103" i="50"/>
  <c r="D77" i="50"/>
  <c r="H103" i="50"/>
  <c r="H77" i="50"/>
  <c r="I103" i="50"/>
  <c r="I77" i="50"/>
  <c r="F103" i="50"/>
  <c r="F77" i="50"/>
  <c r="J106" i="62"/>
  <c r="J107" i="62" s="1"/>
  <c r="P49" i="62"/>
  <c r="O105" i="25"/>
  <c r="O112" i="62" s="1"/>
  <c r="O111" i="50" s="1"/>
  <c r="O104" i="63" s="1"/>
  <c r="D105" i="25"/>
  <c r="D112" i="62" s="1"/>
  <c r="D111" i="50" s="1"/>
  <c r="D104" i="63" s="1"/>
  <c r="E105" i="25"/>
  <c r="E112" i="62" s="1"/>
  <c r="E111" i="50" s="1"/>
  <c r="E104" i="63" s="1"/>
  <c r="K105" i="25"/>
  <c r="K112" i="62" s="1"/>
  <c r="K111" i="50" s="1"/>
  <c r="K104" i="63" s="1"/>
  <c r="N105" i="25"/>
  <c r="N112" i="62" s="1"/>
  <c r="N111" i="50" s="1"/>
  <c r="N104" i="63" s="1"/>
  <c r="C105" i="25"/>
  <c r="C112" i="62" s="1"/>
  <c r="C111" i="50" s="1"/>
  <c r="C104" i="63" s="1"/>
  <c r="G105" i="25"/>
  <c r="G112" i="62" s="1"/>
  <c r="G111" i="50" s="1"/>
  <c r="L105" i="25"/>
  <c r="L112" i="62" s="1"/>
  <c r="L111" i="50" s="1"/>
  <c r="L104" i="63" s="1"/>
  <c r="F105" i="25"/>
  <c r="F112" i="62" s="1"/>
  <c r="F111" i="50" s="1"/>
  <c r="F104" i="63" s="1"/>
  <c r="A37" i="43"/>
  <c r="C36" i="43" s="1"/>
  <c r="J37" i="43"/>
  <c r="A9" i="38"/>
  <c r="A10" i="38" s="1"/>
  <c r="A11" i="38" s="1"/>
  <c r="A12" i="38" s="1"/>
  <c r="D52" i="62" l="1"/>
  <c r="D60" i="62" s="1"/>
  <c r="D62" i="62" s="1"/>
  <c r="B103" i="25"/>
  <c r="B100" i="25"/>
  <c r="G64" i="64"/>
  <c r="P75" i="63"/>
  <c r="P62" i="68"/>
  <c r="A13" i="38"/>
  <c r="A14" i="38" s="1"/>
  <c r="A15" i="38" s="1"/>
  <c r="A16" i="38" s="1"/>
  <c r="A17" i="38" s="1"/>
  <c r="A18" i="38" s="1"/>
  <c r="A19" i="38" s="1"/>
  <c r="A20" i="38" s="1"/>
  <c r="A21" i="38" s="1"/>
  <c r="A22" i="38" s="1"/>
  <c r="A23" i="38" s="1"/>
  <c r="A24" i="38" s="1"/>
  <c r="A25" i="38" s="1"/>
  <c r="A26" i="38" s="1"/>
  <c r="A27" i="38" s="1"/>
  <c r="A28" i="38" s="1"/>
  <c r="A29" i="38" s="1"/>
  <c r="A30" i="38" s="1"/>
  <c r="A31" i="38" s="1"/>
  <c r="A32" i="38" s="1"/>
  <c r="A33" i="38" s="1"/>
  <c r="A34" i="38" s="1"/>
  <c r="A35" i="38" s="1"/>
  <c r="A36" i="38" s="1"/>
  <c r="A37" i="38" s="1"/>
  <c r="A38" i="38" s="1"/>
  <c r="A39" i="38" s="1"/>
  <c r="B39" i="74"/>
  <c r="B89" i="74"/>
  <c r="L89" i="74" s="1"/>
  <c r="L33" i="74"/>
  <c r="J108" i="62"/>
  <c r="J109" i="62" s="1"/>
  <c r="J110" i="62"/>
  <c r="G52" i="66"/>
  <c r="G59" i="66" s="1"/>
  <c r="G61" i="66" s="1"/>
  <c r="P98" i="25"/>
  <c r="P70" i="71"/>
  <c r="B112" i="62"/>
  <c r="B111" i="50" s="1"/>
  <c r="B104" i="63" s="1"/>
  <c r="P105" i="25"/>
  <c r="I46" i="70"/>
  <c r="I122" i="70"/>
  <c r="L96" i="63"/>
  <c r="E96" i="63"/>
  <c r="F96" i="63"/>
  <c r="H96" i="63"/>
  <c r="K96" i="63"/>
  <c r="G96" i="63"/>
  <c r="C96" i="63"/>
  <c r="N96" i="63"/>
  <c r="M96" i="63"/>
  <c r="I96" i="63"/>
  <c r="D96" i="63"/>
  <c r="J96" i="63"/>
  <c r="O96" i="63"/>
  <c r="B96" i="63"/>
  <c r="M93" i="64"/>
  <c r="M128" i="66" s="1"/>
  <c r="M115" i="67" s="1"/>
  <c r="M106" i="68" s="1"/>
  <c r="M134" i="70" s="1"/>
  <c r="M132" i="71" s="1"/>
  <c r="M107" i="72" s="1"/>
  <c r="K111" i="73" s="1"/>
  <c r="J147" i="74" s="1"/>
  <c r="L93" i="64"/>
  <c r="L128" i="66" s="1"/>
  <c r="L115" i="67" s="1"/>
  <c r="L106" i="68" s="1"/>
  <c r="L134" i="70" s="1"/>
  <c r="L132" i="71" s="1"/>
  <c r="L107" i="72" s="1"/>
  <c r="J111" i="73" s="1"/>
  <c r="I147" i="74" s="1"/>
  <c r="O93" i="64"/>
  <c r="O128" i="66" s="1"/>
  <c r="O115" i="67" s="1"/>
  <c r="O106" i="68" s="1"/>
  <c r="O134" i="70" s="1"/>
  <c r="O132" i="71" s="1"/>
  <c r="O107" i="72" s="1"/>
  <c r="L111" i="73" s="1"/>
  <c r="C93" i="64"/>
  <c r="C128" i="66" s="1"/>
  <c r="C115" i="67" s="1"/>
  <c r="C106" i="68" s="1"/>
  <c r="C134" i="70" s="1"/>
  <c r="C132" i="71" s="1"/>
  <c r="C107" i="72" s="1"/>
  <c r="E93" i="64"/>
  <c r="E128" i="66" s="1"/>
  <c r="E115" i="67" s="1"/>
  <c r="E106" i="68" s="1"/>
  <c r="E134" i="70" s="1"/>
  <c r="E132" i="71" s="1"/>
  <c r="E107" i="72" s="1"/>
  <c r="D111" i="73" s="1"/>
  <c r="K93" i="64"/>
  <c r="K128" i="66" s="1"/>
  <c r="K115" i="67" s="1"/>
  <c r="K106" i="68" s="1"/>
  <c r="K134" i="70" s="1"/>
  <c r="K132" i="71" s="1"/>
  <c r="K107" i="72" s="1"/>
  <c r="I111" i="73" s="1"/>
  <c r="H147" i="74" s="1"/>
  <c r="F93" i="64"/>
  <c r="F128" i="66" s="1"/>
  <c r="F115" i="67" s="1"/>
  <c r="F106" i="68" s="1"/>
  <c r="F134" i="70" s="1"/>
  <c r="F132" i="71" s="1"/>
  <c r="F107" i="72" s="1"/>
  <c r="E111" i="73" s="1"/>
  <c r="N93" i="64"/>
  <c r="N128" i="66" s="1"/>
  <c r="N115" i="67" s="1"/>
  <c r="N106" i="68" s="1"/>
  <c r="N134" i="70" s="1"/>
  <c r="N132" i="71" s="1"/>
  <c r="N107" i="72" s="1"/>
  <c r="D93" i="64"/>
  <c r="D128" i="66" s="1"/>
  <c r="D115" i="67" s="1"/>
  <c r="D106" i="68" s="1"/>
  <c r="D134" i="70" s="1"/>
  <c r="D132" i="71" s="1"/>
  <c r="D107" i="72" s="1"/>
  <c r="C111" i="73" s="1"/>
  <c r="C147" i="74" s="1"/>
  <c r="G104" i="63"/>
  <c r="P103" i="50"/>
  <c r="F70" i="63"/>
  <c r="H70" i="63"/>
  <c r="N70" i="63"/>
  <c r="M70" i="63"/>
  <c r="J70" i="63"/>
  <c r="O70" i="63"/>
  <c r="O85" i="64" s="1"/>
  <c r="B70" i="63"/>
  <c r="I70" i="63"/>
  <c r="D70" i="63"/>
  <c r="K70" i="63"/>
  <c r="L70" i="63"/>
  <c r="E70" i="63"/>
  <c r="J112" i="62"/>
  <c r="J111" i="50" s="1"/>
  <c r="J104" i="63" s="1"/>
  <c r="P106" i="62"/>
  <c r="G70" i="63"/>
  <c r="C70" i="63"/>
  <c r="P77" i="50"/>
  <c r="F49" i="25"/>
  <c r="F57" i="25" s="1"/>
  <c r="F59" i="25" s="1"/>
  <c r="F104" i="25"/>
  <c r="F111" i="62" s="1"/>
  <c r="E49" i="25"/>
  <c r="E57" i="25" s="1"/>
  <c r="E59" i="25" s="1"/>
  <c r="E104" i="25"/>
  <c r="E111" i="62" s="1"/>
  <c r="H49" i="25"/>
  <c r="H57" i="25" s="1"/>
  <c r="H59" i="25" s="1"/>
  <c r="H104" i="25"/>
  <c r="H111" i="62" s="1"/>
  <c r="I49" i="25"/>
  <c r="I57" i="25" s="1"/>
  <c r="I59" i="25" s="1"/>
  <c r="I104" i="25"/>
  <c r="I111" i="62" s="1"/>
  <c r="O49" i="25"/>
  <c r="O57" i="25" s="1"/>
  <c r="O59" i="25" s="1"/>
  <c r="O104" i="25"/>
  <c r="O111" i="62" s="1"/>
  <c r="C12" i="43"/>
  <c r="C11" i="43"/>
  <c r="C10" i="43"/>
  <c r="C9" i="43"/>
  <c r="B8" i="43"/>
  <c r="P108" i="62" l="1"/>
  <c r="A40" i="38"/>
  <c r="A41" i="38" s="1"/>
  <c r="A42" i="38" s="1"/>
  <c r="A43" i="38" s="1"/>
  <c r="A44" i="38" s="1"/>
  <c r="G78" i="66"/>
  <c r="P64" i="64"/>
  <c r="L39" i="74"/>
  <c r="B110" i="62"/>
  <c r="P103" i="25"/>
  <c r="P66" i="72"/>
  <c r="B93" i="64"/>
  <c r="B128" i="66" s="1"/>
  <c r="B115" i="67" s="1"/>
  <c r="B106" i="68" s="1"/>
  <c r="B134" i="70" s="1"/>
  <c r="B132" i="71" s="1"/>
  <c r="B107" i="72" s="1"/>
  <c r="B111" i="73" s="1"/>
  <c r="B147" i="74" s="1"/>
  <c r="P100" i="25"/>
  <c r="E85" i="64"/>
  <c r="E59" i="64"/>
  <c r="E120" i="66" s="1"/>
  <c r="N85" i="64"/>
  <c r="N59" i="64"/>
  <c r="N120" i="66" s="1"/>
  <c r="G59" i="64"/>
  <c r="G120" i="66" s="1"/>
  <c r="G85" i="64"/>
  <c r="L59" i="64"/>
  <c r="L120" i="66" s="1"/>
  <c r="L85" i="64"/>
  <c r="B85" i="64"/>
  <c r="B59" i="64"/>
  <c r="H85" i="64"/>
  <c r="H59" i="64"/>
  <c r="H120" i="66" s="1"/>
  <c r="C59" i="64"/>
  <c r="C120" i="66" s="1"/>
  <c r="C85" i="64"/>
  <c r="I85" i="64"/>
  <c r="I59" i="64"/>
  <c r="I120" i="66" s="1"/>
  <c r="K59" i="64"/>
  <c r="K120" i="66" s="1"/>
  <c r="K85" i="64"/>
  <c r="O59" i="64"/>
  <c r="O120" i="66" s="1"/>
  <c r="F85" i="64"/>
  <c r="F59" i="64"/>
  <c r="F120" i="66" s="1"/>
  <c r="D59" i="64"/>
  <c r="D120" i="66" s="1"/>
  <c r="D85" i="64"/>
  <c r="J59" i="64"/>
  <c r="J120" i="66" s="1"/>
  <c r="J85" i="64"/>
  <c r="M85" i="64"/>
  <c r="M59" i="64"/>
  <c r="M120" i="66" s="1"/>
  <c r="P36" i="66"/>
  <c r="M45" i="66"/>
  <c r="M116" i="66"/>
  <c r="P104" i="63"/>
  <c r="J93" i="64"/>
  <c r="J128" i="66" s="1"/>
  <c r="J115" i="67" s="1"/>
  <c r="J106" i="68" s="1"/>
  <c r="J134" i="70" s="1"/>
  <c r="J132" i="71" s="1"/>
  <c r="J107" i="72" s="1"/>
  <c r="H111" i="73" s="1"/>
  <c r="G147" i="74" s="1"/>
  <c r="G93" i="64"/>
  <c r="G128" i="66" s="1"/>
  <c r="G115" i="67" s="1"/>
  <c r="G106" i="68" s="1"/>
  <c r="G134" i="70" s="1"/>
  <c r="G132" i="71" s="1"/>
  <c r="G107" i="72" s="1"/>
  <c r="F111" i="73" s="1"/>
  <c r="E147" i="74" s="1"/>
  <c r="P112" i="62"/>
  <c r="P70" i="63"/>
  <c r="P107" i="62"/>
  <c r="P96" i="63"/>
  <c r="P111" i="50"/>
  <c r="C8" i="43"/>
  <c r="G76" i="67" l="1"/>
  <c r="P78" i="66"/>
  <c r="M111" i="73"/>
  <c r="P110" i="62"/>
  <c r="P107" i="72"/>
  <c r="P132" i="71"/>
  <c r="O46" i="70"/>
  <c r="O122" i="70"/>
  <c r="E46" i="70"/>
  <c r="E122" i="70"/>
  <c r="C122" i="70"/>
  <c r="C46" i="70"/>
  <c r="L122" i="70"/>
  <c r="L46" i="70"/>
  <c r="K122" i="70"/>
  <c r="K46" i="70"/>
  <c r="D61" i="70"/>
  <c r="N122" i="70"/>
  <c r="N46" i="70"/>
  <c r="F46" i="70"/>
  <c r="F122" i="70"/>
  <c r="B46" i="70"/>
  <c r="B122" i="70"/>
  <c r="M122" i="70"/>
  <c r="M46" i="70"/>
  <c r="P134" i="70"/>
  <c r="P106" i="68"/>
  <c r="P85" i="64"/>
  <c r="O72" i="66"/>
  <c r="L72" i="66"/>
  <c r="J72" i="66"/>
  <c r="K72" i="66"/>
  <c r="C72" i="66"/>
  <c r="B72" i="66"/>
  <c r="B120" i="66"/>
  <c r="E72" i="66"/>
  <c r="D72" i="66"/>
  <c r="H72" i="66"/>
  <c r="N72" i="66"/>
  <c r="F72" i="66"/>
  <c r="P59" i="64"/>
  <c r="P115" i="67"/>
  <c r="M72" i="66"/>
  <c r="I72" i="66"/>
  <c r="G72" i="66"/>
  <c r="P128" i="66"/>
  <c r="M61" i="66"/>
  <c r="D52" i="66"/>
  <c r="P93" i="64"/>
  <c r="J52" i="62"/>
  <c r="P109" i="62"/>
  <c r="O20" i="25"/>
  <c r="N20" i="25"/>
  <c r="N101" i="25" s="1"/>
  <c r="N102" i="25" s="1"/>
  <c r="M20" i="25"/>
  <c r="M101" i="25" s="1"/>
  <c r="M102" i="25" s="1"/>
  <c r="L20" i="25"/>
  <c r="L101" i="25" s="1"/>
  <c r="L102" i="25" s="1"/>
  <c r="K20" i="25"/>
  <c r="K101" i="25" s="1"/>
  <c r="K102" i="25" s="1"/>
  <c r="J20" i="25"/>
  <c r="J101" i="25" s="1"/>
  <c r="J102" i="25" s="1"/>
  <c r="I20" i="25"/>
  <c r="H20" i="25"/>
  <c r="G20" i="25"/>
  <c r="G101" i="25" s="1"/>
  <c r="G102" i="25" s="1"/>
  <c r="F20" i="25"/>
  <c r="E20" i="25"/>
  <c r="D20" i="25"/>
  <c r="D101" i="25" s="1"/>
  <c r="D102" i="25" s="1"/>
  <c r="C20" i="25"/>
  <c r="C101" i="25" s="1"/>
  <c r="C102" i="25" s="1"/>
  <c r="B20" i="25"/>
  <c r="B101" i="25" s="1"/>
  <c r="B102" i="25" s="1"/>
  <c r="B49" i="25" l="1"/>
  <c r="B57" i="25" s="1"/>
  <c r="B59" i="25" s="1"/>
  <c r="G73" i="68"/>
  <c r="P76" i="67"/>
  <c r="P80" i="66"/>
  <c r="D49" i="25"/>
  <c r="D57" i="25" s="1"/>
  <c r="D59" i="25" s="1"/>
  <c r="D104" i="25"/>
  <c r="D111" i="62" s="1"/>
  <c r="M49" i="25"/>
  <c r="M57" i="25" s="1"/>
  <c r="M59" i="25" s="1"/>
  <c r="M104" i="25"/>
  <c r="M111" i="62" s="1"/>
  <c r="P101" i="25"/>
  <c r="N104" i="25"/>
  <c r="N111" i="62" s="1"/>
  <c r="N49" i="25"/>
  <c r="N57" i="25" s="1"/>
  <c r="N59" i="25" s="1"/>
  <c r="G49" i="25"/>
  <c r="G57" i="25" s="1"/>
  <c r="G59" i="25" s="1"/>
  <c r="G104" i="25"/>
  <c r="G111" i="62" s="1"/>
  <c r="K49" i="25"/>
  <c r="K57" i="25" s="1"/>
  <c r="K59" i="25" s="1"/>
  <c r="K104" i="25"/>
  <c r="K111" i="62" s="1"/>
  <c r="C49" i="25"/>
  <c r="C57" i="25" s="1"/>
  <c r="C59" i="25" s="1"/>
  <c r="C104" i="25"/>
  <c r="C111" i="62" s="1"/>
  <c r="L49" i="25"/>
  <c r="L57" i="25" s="1"/>
  <c r="L59" i="25" s="1"/>
  <c r="L104" i="25"/>
  <c r="L111" i="62" s="1"/>
  <c r="B107" i="67"/>
  <c r="B70" i="67"/>
  <c r="G107" i="67"/>
  <c r="G70" i="67"/>
  <c r="C107" i="67"/>
  <c r="C70" i="67"/>
  <c r="O107" i="67"/>
  <c r="O70" i="67"/>
  <c r="H107" i="67"/>
  <c r="H70" i="67"/>
  <c r="I107" i="67"/>
  <c r="I70" i="67"/>
  <c r="F107" i="67"/>
  <c r="F70" i="67"/>
  <c r="E107" i="67"/>
  <c r="E70" i="67"/>
  <c r="K107" i="67"/>
  <c r="K70" i="67"/>
  <c r="L107" i="67"/>
  <c r="L70" i="67"/>
  <c r="M107" i="67"/>
  <c r="M70" i="67"/>
  <c r="N107" i="67"/>
  <c r="N70" i="67"/>
  <c r="J107" i="67"/>
  <c r="J70" i="67"/>
  <c r="G122" i="70"/>
  <c r="G46" i="70"/>
  <c r="J46" i="70"/>
  <c r="J122" i="70"/>
  <c r="P120" i="66"/>
  <c r="P72" i="66"/>
  <c r="D59" i="66"/>
  <c r="J60" i="62"/>
  <c r="P52" i="62"/>
  <c r="B104" i="25" l="1"/>
  <c r="B111" i="62" s="1"/>
  <c r="G78" i="70"/>
  <c r="P73" i="68"/>
  <c r="P122" i="70"/>
  <c r="J49" i="25"/>
  <c r="J104" i="25"/>
  <c r="J111" i="62" s="1"/>
  <c r="P102" i="25"/>
  <c r="J67" i="68"/>
  <c r="J98" i="68"/>
  <c r="K67" i="68"/>
  <c r="K98" i="68"/>
  <c r="H67" i="68"/>
  <c r="H98" i="68"/>
  <c r="M67" i="68"/>
  <c r="M98" i="68"/>
  <c r="F67" i="68"/>
  <c r="F98" i="68"/>
  <c r="G67" i="68"/>
  <c r="G98" i="68"/>
  <c r="N67" i="68"/>
  <c r="N98" i="68"/>
  <c r="L67" i="68"/>
  <c r="L98" i="68"/>
  <c r="E67" i="68"/>
  <c r="E98" i="68"/>
  <c r="I67" i="68"/>
  <c r="I98" i="68"/>
  <c r="O67" i="68"/>
  <c r="O98" i="68"/>
  <c r="B67" i="68"/>
  <c r="B98" i="68"/>
  <c r="P70" i="67"/>
  <c r="C67" i="68"/>
  <c r="C98" i="68"/>
  <c r="P107" i="67"/>
  <c r="P46" i="70"/>
  <c r="D61" i="66"/>
  <c r="J62" i="62"/>
  <c r="P62" i="62" s="1"/>
  <c r="P60" i="62"/>
  <c r="H116" i="66" l="1"/>
  <c r="H45" i="66"/>
  <c r="H61" i="66" s="1"/>
  <c r="G78" i="71"/>
  <c r="P78" i="70"/>
  <c r="P104" i="25"/>
  <c r="P111" i="62"/>
  <c r="J57" i="25"/>
  <c r="P49" i="25"/>
  <c r="C126" i="70"/>
  <c r="C72" i="70"/>
  <c r="I126" i="70"/>
  <c r="I72" i="70"/>
  <c r="L126" i="70"/>
  <c r="L72" i="70"/>
  <c r="G126" i="70"/>
  <c r="G72" i="70"/>
  <c r="M126" i="70"/>
  <c r="M72" i="70"/>
  <c r="K126" i="70"/>
  <c r="K72" i="70"/>
  <c r="P98" i="68"/>
  <c r="B126" i="70"/>
  <c r="B72" i="70"/>
  <c r="P67" i="68"/>
  <c r="O126" i="70"/>
  <c r="O72" i="70"/>
  <c r="E126" i="70"/>
  <c r="E72" i="70"/>
  <c r="N126" i="70"/>
  <c r="N72" i="70"/>
  <c r="F126" i="70"/>
  <c r="F72" i="70"/>
  <c r="H126" i="70"/>
  <c r="H72" i="70"/>
  <c r="J126" i="70"/>
  <c r="J72" i="70"/>
  <c r="C116" i="66" l="1"/>
  <c r="C45" i="66"/>
  <c r="G74" i="72"/>
  <c r="P78" i="71"/>
  <c r="J59" i="25"/>
  <c r="P59" i="25" s="1"/>
  <c r="P57" i="25"/>
  <c r="P126" i="70"/>
  <c r="H72" i="71"/>
  <c r="H124" i="71"/>
  <c r="O72" i="71"/>
  <c r="O124" i="71"/>
  <c r="M72" i="71"/>
  <c r="M124" i="71"/>
  <c r="D124" i="71"/>
  <c r="J72" i="71"/>
  <c r="J124" i="71"/>
  <c r="F72" i="71"/>
  <c r="F124" i="71"/>
  <c r="E72" i="71"/>
  <c r="E124" i="71"/>
  <c r="K124" i="71"/>
  <c r="K72" i="71"/>
  <c r="G124" i="71"/>
  <c r="G72" i="71"/>
  <c r="I72" i="71"/>
  <c r="I124" i="71"/>
  <c r="C72" i="71"/>
  <c r="C124" i="71"/>
  <c r="N124" i="71"/>
  <c r="N72" i="71"/>
  <c r="L124" i="71"/>
  <c r="L72" i="71"/>
  <c r="B72" i="71"/>
  <c r="B124" i="71"/>
  <c r="P72" i="70"/>
  <c r="C61" i="66" l="1"/>
  <c r="F73" i="73"/>
  <c r="P74" i="72"/>
  <c r="P67" i="71"/>
  <c r="B99" i="72"/>
  <c r="B68" i="72"/>
  <c r="I99" i="72"/>
  <c r="I68" i="72"/>
  <c r="F99" i="72"/>
  <c r="F68" i="72"/>
  <c r="O99" i="72"/>
  <c r="O68" i="72"/>
  <c r="L99" i="72"/>
  <c r="L68" i="72"/>
  <c r="G99" i="72"/>
  <c r="G68" i="72"/>
  <c r="C99" i="72"/>
  <c r="C36" i="72" s="1"/>
  <c r="C35" i="72" s="1"/>
  <c r="C68" i="72"/>
  <c r="E99" i="72"/>
  <c r="E68" i="72"/>
  <c r="D67" i="73" s="1"/>
  <c r="J99" i="72"/>
  <c r="J68" i="72"/>
  <c r="M99" i="72"/>
  <c r="M68" i="72"/>
  <c r="H99" i="72"/>
  <c r="H68" i="72"/>
  <c r="N99" i="72"/>
  <c r="N68" i="72"/>
  <c r="K99" i="72"/>
  <c r="K68" i="72"/>
  <c r="P124" i="71"/>
  <c r="P72" i="71"/>
  <c r="P33" i="72"/>
  <c r="P31" i="72"/>
  <c r="N95" i="72"/>
  <c r="N42" i="72"/>
  <c r="E72" i="74" l="1"/>
  <c r="L72" i="74" s="1"/>
  <c r="M73" i="73"/>
  <c r="B102" i="73"/>
  <c r="B67" i="73"/>
  <c r="K67" i="73"/>
  <c r="K102" i="73"/>
  <c r="F102" i="73"/>
  <c r="F67" i="73"/>
  <c r="E67" i="73"/>
  <c r="E102" i="73"/>
  <c r="I102" i="73"/>
  <c r="I67" i="73"/>
  <c r="H67" i="73"/>
  <c r="H102" i="73"/>
  <c r="J67" i="73"/>
  <c r="J102" i="73"/>
  <c r="G67" i="73"/>
  <c r="G102" i="73"/>
  <c r="D102" i="73"/>
  <c r="L102" i="73"/>
  <c r="L67" i="73"/>
  <c r="P68" i="72"/>
  <c r="P36" i="72"/>
  <c r="P99" i="72"/>
  <c r="P35" i="72"/>
  <c r="C42" i="72"/>
  <c r="C95" i="72"/>
  <c r="P95" i="72" s="1"/>
  <c r="K93" i="74" l="1"/>
  <c r="K65" i="74"/>
  <c r="E93" i="74"/>
  <c r="E65" i="74"/>
  <c r="F93" i="74"/>
  <c r="F65" i="74"/>
  <c r="I93" i="74"/>
  <c r="I65" i="74"/>
  <c r="G93" i="74"/>
  <c r="G65" i="74"/>
  <c r="H93" i="74"/>
  <c r="H65" i="74"/>
  <c r="B93" i="74"/>
  <c r="B65" i="74"/>
  <c r="D93" i="74"/>
  <c r="D65" i="74"/>
  <c r="J93" i="74"/>
  <c r="J65" i="74"/>
  <c r="M67" i="73"/>
  <c r="M102" i="73"/>
  <c r="P42" i="72"/>
  <c r="L65" i="74" l="1"/>
  <c r="L93" i="74"/>
  <c r="P72" i="72" l="1"/>
  <c r="P73" i="72"/>
  <c r="N116" i="66" l="1"/>
  <c r="P116" i="66" s="1"/>
  <c r="N45" i="66"/>
  <c r="P45" i="66" s="1"/>
  <c r="P117" i="66"/>
  <c r="N121" i="66" l="1"/>
  <c r="N123" i="66" l="1"/>
  <c r="P121" i="66"/>
  <c r="N124" i="66" l="1"/>
  <c r="P123" i="66"/>
  <c r="P124" i="66" l="1"/>
  <c r="N125" i="66"/>
  <c r="P125" i="66" l="1"/>
  <c r="N52" i="66"/>
  <c r="P52" i="66" l="1"/>
  <c r="N59" i="66"/>
  <c r="P59" i="66" l="1"/>
  <c r="N61" i="66"/>
  <c r="P61" i="66" s="1"/>
  <c r="B97" i="63" l="1"/>
  <c r="B99" i="63"/>
  <c r="B100" i="63" l="1"/>
  <c r="B101" i="63" s="1"/>
  <c r="B50" i="63" l="1"/>
  <c r="B107" i="63"/>
  <c r="B108" i="63" l="1"/>
  <c r="B110" i="63" l="1"/>
  <c r="B109" i="63"/>
  <c r="B111" i="63" l="1"/>
  <c r="B33" i="63"/>
  <c r="B114" i="63" l="1"/>
  <c r="B115" i="63" l="1"/>
  <c r="B116" i="63" l="1"/>
  <c r="B117" i="63"/>
  <c r="B118" i="63" l="1"/>
  <c r="P93" i="63" l="1"/>
  <c r="N97" i="63"/>
  <c r="N99" i="63"/>
  <c r="M97" i="63"/>
  <c r="M99" i="63" s="1"/>
  <c r="I97" i="63"/>
  <c r="I99" i="63"/>
  <c r="H97" i="63"/>
  <c r="H99" i="63" s="1"/>
  <c r="J97" i="63"/>
  <c r="J99" i="63" s="1"/>
  <c r="O97" i="63"/>
  <c r="O99" i="63" s="1"/>
  <c r="O100" i="63"/>
  <c r="O101" i="63" s="1"/>
  <c r="F97" i="63"/>
  <c r="F99" i="63" s="1"/>
  <c r="L97" i="63"/>
  <c r="L99" i="63" s="1"/>
  <c r="E97" i="63"/>
  <c r="E99" i="63" s="1"/>
  <c r="G97" i="63"/>
  <c r="G99" i="63" s="1"/>
  <c r="D97" i="63"/>
  <c r="D99" i="63" s="1"/>
  <c r="K97" i="63"/>
  <c r="K99" i="63" s="1"/>
  <c r="C97" i="63"/>
  <c r="K100" i="63" l="1"/>
  <c r="L100" i="63"/>
  <c r="L101" i="63" s="1"/>
  <c r="L50" i="63" s="1"/>
  <c r="I100" i="63"/>
  <c r="N100" i="63"/>
  <c r="D100" i="63"/>
  <c r="D101" i="63" s="1"/>
  <c r="F100" i="63"/>
  <c r="F101" i="63" s="1"/>
  <c r="P97" i="63"/>
  <c r="G100" i="63"/>
  <c r="G101" i="63" s="1"/>
  <c r="O50" i="63"/>
  <c r="J100" i="63"/>
  <c r="E100" i="63"/>
  <c r="E101" i="63" s="1"/>
  <c r="H100" i="63"/>
  <c r="H101" i="63" s="1"/>
  <c r="M100" i="63"/>
  <c r="K101" i="63"/>
  <c r="I101" i="63"/>
  <c r="I107" i="63" s="1"/>
  <c r="I108" i="63" s="1"/>
  <c r="O107" i="63"/>
  <c r="O108" i="63" s="1"/>
  <c r="C99" i="63"/>
  <c r="H107" i="63" l="1"/>
  <c r="H108" i="63" s="1"/>
  <c r="H109" i="63" s="1"/>
  <c r="F50" i="63"/>
  <c r="M101" i="63"/>
  <c r="M107" i="63" s="1"/>
  <c r="M108" i="63" s="1"/>
  <c r="I50" i="63"/>
  <c r="N101" i="63"/>
  <c r="N107" i="63" s="1"/>
  <c r="N108" i="63" s="1"/>
  <c r="L107" i="63"/>
  <c r="L108" i="63" s="1"/>
  <c r="G50" i="63"/>
  <c r="H50" i="63"/>
  <c r="J101" i="63"/>
  <c r="J107" i="63" s="1"/>
  <c r="J108" i="63" s="1"/>
  <c r="E50" i="63"/>
  <c r="D50" i="63"/>
  <c r="K50" i="63"/>
  <c r="F107" i="63"/>
  <c r="F108" i="63" s="1"/>
  <c r="H110" i="63"/>
  <c r="H111" i="63" s="1"/>
  <c r="G107" i="63"/>
  <c r="G108" i="63" s="1"/>
  <c r="G109" i="63" s="1"/>
  <c r="D107" i="63"/>
  <c r="D108" i="63" s="1"/>
  <c r="E107" i="63"/>
  <c r="E108" i="63" s="1"/>
  <c r="K107" i="63"/>
  <c r="K108" i="63" s="1"/>
  <c r="C100" i="63"/>
  <c r="P99" i="63"/>
  <c r="O109" i="63"/>
  <c r="O110" i="63"/>
  <c r="O111" i="63" s="1"/>
  <c r="I110" i="63"/>
  <c r="I111" i="63" s="1"/>
  <c r="I109" i="63"/>
  <c r="I33" i="63" s="1"/>
  <c r="N110" i="63" l="1"/>
  <c r="N111" i="63" s="1"/>
  <c r="N109" i="63"/>
  <c r="J109" i="63"/>
  <c r="J110" i="63"/>
  <c r="J111" i="63" s="1"/>
  <c r="J50" i="63"/>
  <c r="M50" i="63"/>
  <c r="M110" i="63"/>
  <c r="M111" i="63" s="1"/>
  <c r="M109" i="63"/>
  <c r="N50" i="63"/>
  <c r="O114" i="63"/>
  <c r="O115" i="63" s="1"/>
  <c r="O117" i="63" s="1"/>
  <c r="L110" i="63"/>
  <c r="L109" i="63"/>
  <c r="H114" i="63"/>
  <c r="H115" i="63" s="1"/>
  <c r="H116" i="63" s="1"/>
  <c r="I114" i="63"/>
  <c r="I115" i="63" s="1"/>
  <c r="I116" i="63" s="1"/>
  <c r="F109" i="63"/>
  <c r="F110" i="63"/>
  <c r="F111" i="63" s="1"/>
  <c r="G110" i="63"/>
  <c r="G111" i="63" s="1"/>
  <c r="C101" i="63"/>
  <c r="P100" i="63"/>
  <c r="K110" i="63"/>
  <c r="K111" i="63" s="1"/>
  <c r="K109" i="63"/>
  <c r="K33" i="63" s="1"/>
  <c r="D109" i="63"/>
  <c r="D110" i="63"/>
  <c r="D111" i="63" s="1"/>
  <c r="E110" i="63"/>
  <c r="E111" i="63" s="1"/>
  <c r="E109" i="63"/>
  <c r="E33" i="63" s="1"/>
  <c r="I117" i="63" l="1"/>
  <c r="I118" i="63" s="1"/>
  <c r="E114" i="63"/>
  <c r="E115" i="63" s="1"/>
  <c r="E117" i="63" s="1"/>
  <c r="H117" i="63"/>
  <c r="H118" i="63" s="1"/>
  <c r="O116" i="63"/>
  <c r="N114" i="63"/>
  <c r="N115" i="63" s="1"/>
  <c r="C107" i="63"/>
  <c r="P107" i="63" s="1"/>
  <c r="F114" i="63"/>
  <c r="F115" i="63" s="1"/>
  <c r="F116" i="63" s="1"/>
  <c r="L111" i="63"/>
  <c r="L114" i="63"/>
  <c r="L115" i="63" s="1"/>
  <c r="M114" i="63"/>
  <c r="M115" i="63" s="1"/>
  <c r="J114" i="63"/>
  <c r="J115" i="63" s="1"/>
  <c r="D114" i="63"/>
  <c r="D115" i="63" s="1"/>
  <c r="D117" i="63" s="1"/>
  <c r="G114" i="63"/>
  <c r="G115" i="63" s="1"/>
  <c r="O118" i="63"/>
  <c r="P33" i="63"/>
  <c r="K114" i="63"/>
  <c r="K115" i="63" s="1"/>
  <c r="P101" i="63"/>
  <c r="C50" i="63"/>
  <c r="F117" i="63" l="1"/>
  <c r="E116" i="63"/>
  <c r="C108" i="63"/>
  <c r="C110" i="63" s="1"/>
  <c r="C114" i="63" s="1"/>
  <c r="L117" i="63"/>
  <c r="L118" i="63" s="1"/>
  <c r="L116" i="63"/>
  <c r="M117" i="63"/>
  <c r="M118" i="63" s="1"/>
  <c r="M116" i="63"/>
  <c r="N116" i="63"/>
  <c r="N117" i="63"/>
  <c r="N118" i="63" s="1"/>
  <c r="J117" i="63"/>
  <c r="J118" i="63" s="1"/>
  <c r="J116" i="63"/>
  <c r="D116" i="63"/>
  <c r="F118" i="63"/>
  <c r="G117" i="63"/>
  <c r="G116" i="63"/>
  <c r="K116" i="63"/>
  <c r="K117" i="63"/>
  <c r="P50" i="63"/>
  <c r="E118" i="63"/>
  <c r="D118" i="63"/>
  <c r="C109" i="63" l="1"/>
  <c r="P109" i="63" s="1"/>
  <c r="P108" i="63"/>
  <c r="G118" i="63"/>
  <c r="P114" i="63"/>
  <c r="C115" i="63"/>
  <c r="P110" i="63"/>
  <c r="C111" i="63"/>
  <c r="P111" i="63" s="1"/>
  <c r="K118" i="63"/>
  <c r="P115" i="63" l="1"/>
  <c r="C117" i="63"/>
  <c r="C116" i="63"/>
  <c r="P116" i="63" l="1"/>
  <c r="P117" i="63"/>
  <c r="C118" i="63"/>
  <c r="P118" i="63" s="1"/>
  <c r="B86" i="64" l="1"/>
  <c r="B88" i="64" s="1"/>
  <c r="B89" i="64" s="1"/>
  <c r="B90" i="64" l="1"/>
  <c r="B40" i="64" l="1"/>
  <c r="B46" i="64" l="1"/>
  <c r="B48" i="64" l="1"/>
  <c r="P82" i="64" l="1"/>
  <c r="J86" i="64"/>
  <c r="O86" i="64"/>
  <c r="G86" i="64"/>
  <c r="C86" i="64"/>
  <c r="C88" i="64"/>
  <c r="M86" i="64"/>
  <c r="M88" i="64" s="1"/>
  <c r="M89" i="64" s="1"/>
  <c r="M90" i="64" s="1"/>
  <c r="F86" i="64"/>
  <c r="E86" i="64"/>
  <c r="E88" i="64" s="1"/>
  <c r="E89" i="64" s="1"/>
  <c r="E90" i="64" s="1"/>
  <c r="L86" i="64"/>
  <c r="H86" i="64"/>
  <c r="H88" i="64" s="1"/>
  <c r="H89" i="64" s="1"/>
  <c r="H90" i="64" s="1"/>
  <c r="K86" i="64"/>
  <c r="N86" i="64"/>
  <c r="N88" i="64" s="1"/>
  <c r="N89" i="64" s="1"/>
  <c r="N90" i="64" s="1"/>
  <c r="I86" i="64"/>
  <c r="I88" i="64"/>
  <c r="I89" i="64" s="1"/>
  <c r="I90" i="64" s="1"/>
  <c r="D86" i="64"/>
  <c r="D88" i="64"/>
  <c r="D89" i="64" s="1"/>
  <c r="D90" i="64" s="1"/>
  <c r="K88" i="64" l="1"/>
  <c r="K89" i="64" s="1"/>
  <c r="K90" i="64" s="1"/>
  <c r="J88" i="64"/>
  <c r="J89" i="64" s="1"/>
  <c r="J90" i="64" s="1"/>
  <c r="J40" i="64" s="1"/>
  <c r="J46" i="64" s="1"/>
  <c r="J48" i="64" s="1"/>
  <c r="E40" i="64"/>
  <c r="E46" i="64" s="1"/>
  <c r="E48" i="64" s="1"/>
  <c r="D40" i="64"/>
  <c r="D46" i="64" s="1"/>
  <c r="D48" i="64" s="1"/>
  <c r="N40" i="64"/>
  <c r="N46" i="64" s="1"/>
  <c r="N48" i="64" s="1"/>
  <c r="K40" i="64"/>
  <c r="K46" i="64" s="1"/>
  <c r="K48" i="64" s="1"/>
  <c r="M40" i="64"/>
  <c r="M46" i="64" s="1"/>
  <c r="M48" i="64" s="1"/>
  <c r="H40" i="64"/>
  <c r="H46" i="64" s="1"/>
  <c r="H48" i="64" s="1"/>
  <c r="I40" i="64"/>
  <c r="I46" i="64" s="1"/>
  <c r="I48" i="64" s="1"/>
  <c r="P86" i="64"/>
  <c r="G88" i="64"/>
  <c r="G89" i="64" s="1"/>
  <c r="G90" i="64" s="1"/>
  <c r="C89" i="64"/>
  <c r="L88" i="64"/>
  <c r="L89" i="64" s="1"/>
  <c r="L90" i="64" s="1"/>
  <c r="F88" i="64"/>
  <c r="F89" i="64" s="1"/>
  <c r="F90" i="64" s="1"/>
  <c r="O88" i="64"/>
  <c r="O89" i="64" s="1"/>
  <c r="O90" i="64" s="1"/>
  <c r="C90" i="64" l="1"/>
  <c r="P89" i="64"/>
  <c r="F40" i="64"/>
  <c r="F46" i="64" s="1"/>
  <c r="F48" i="64" s="1"/>
  <c r="L40" i="64"/>
  <c r="L46" i="64" s="1"/>
  <c r="L48" i="64" s="1"/>
  <c r="O40" i="64"/>
  <c r="O46" i="64" s="1"/>
  <c r="O48" i="64" s="1"/>
  <c r="P88" i="64"/>
  <c r="G40" i="64"/>
  <c r="G46" i="64" s="1"/>
  <c r="G48" i="64" s="1"/>
  <c r="P90" i="64" l="1"/>
  <c r="C40" i="64"/>
  <c r="C46" i="64" l="1"/>
  <c r="P40" i="64"/>
  <c r="P46" i="64" l="1"/>
  <c r="C48" i="64"/>
  <c r="P48" i="64" s="1"/>
  <c r="B108" i="67"/>
  <c r="B110" i="67" s="1"/>
  <c r="B111" i="67" s="1"/>
  <c r="B112" i="67" l="1"/>
  <c r="B51" i="67" l="1"/>
  <c r="B57" i="67" l="1"/>
  <c r="B59" i="67" l="1"/>
  <c r="P103" i="67" l="1"/>
  <c r="D108" i="67"/>
  <c r="D110" i="67" s="1"/>
  <c r="D111" i="67" s="1"/>
  <c r="C108" i="67"/>
  <c r="O108" i="67"/>
  <c r="I108" i="67"/>
  <c r="E108" i="67"/>
  <c r="E110" i="67"/>
  <c r="E111" i="67" s="1"/>
  <c r="E112" i="67" s="1"/>
  <c r="K108" i="67"/>
  <c r="K110" i="67" s="1"/>
  <c r="K111" i="67" s="1"/>
  <c r="K112" i="67" s="1"/>
  <c r="H108" i="67"/>
  <c r="F108" i="67"/>
  <c r="L108" i="67"/>
  <c r="L110" i="67" s="1"/>
  <c r="L111" i="67" s="1"/>
  <c r="L112" i="67" s="1"/>
  <c r="L51" i="67" s="1"/>
  <c r="L57" i="67" s="1"/>
  <c r="L59" i="67" s="1"/>
  <c r="M108" i="67"/>
  <c r="N108" i="67"/>
  <c r="N110" i="67"/>
  <c r="N111" i="67" s="1"/>
  <c r="N112" i="67" s="1"/>
  <c r="G108" i="67"/>
  <c r="J108" i="67"/>
  <c r="J110" i="67" l="1"/>
  <c r="J111" i="67" s="1"/>
  <c r="J112" i="67" s="1"/>
  <c r="J51" i="67" s="1"/>
  <c r="J57" i="67" s="1"/>
  <c r="J59" i="67" s="1"/>
  <c r="H110" i="67"/>
  <c r="H111" i="67" s="1"/>
  <c r="H112" i="67" s="1"/>
  <c r="H51" i="67" s="1"/>
  <c r="H57" i="67" s="1"/>
  <c r="H59" i="67" s="1"/>
  <c r="F110" i="67"/>
  <c r="F111" i="67" s="1"/>
  <c r="F112" i="67" s="1"/>
  <c r="F51" i="67" s="1"/>
  <c r="F57" i="67" s="1"/>
  <c r="F59" i="67" s="1"/>
  <c r="C110" i="67"/>
  <c r="C111" i="67" s="1"/>
  <c r="C112" i="67" s="1"/>
  <c r="I110" i="67"/>
  <c r="I111" i="67" s="1"/>
  <c r="I112" i="67" s="1"/>
  <c r="D112" i="67"/>
  <c r="N51" i="67"/>
  <c r="N57" i="67" s="1"/>
  <c r="N59" i="67" s="1"/>
  <c r="K51" i="67"/>
  <c r="K57" i="67" s="1"/>
  <c r="K59" i="67" s="1"/>
  <c r="E51" i="67"/>
  <c r="E57" i="67" s="1"/>
  <c r="E59" i="67" s="1"/>
  <c r="G110" i="67"/>
  <c r="G111" i="67" s="1"/>
  <c r="G112" i="67" s="1"/>
  <c r="M110" i="67"/>
  <c r="M111" i="67" s="1"/>
  <c r="M112" i="67" s="1"/>
  <c r="P108" i="67"/>
  <c r="O110" i="67"/>
  <c r="O111" i="67" s="1"/>
  <c r="O112" i="67" s="1"/>
  <c r="C51" i="67" l="1"/>
  <c r="I51" i="67"/>
  <c r="I57" i="67" s="1"/>
  <c r="I59" i="67" s="1"/>
  <c r="P112" i="67"/>
  <c r="P111" i="67"/>
  <c r="C57" i="67"/>
  <c r="D51" i="67"/>
  <c r="D57" i="67" s="1"/>
  <c r="D59" i="67" s="1"/>
  <c r="O51" i="67"/>
  <c r="O57" i="67" s="1"/>
  <c r="O59" i="67" s="1"/>
  <c r="M51" i="67"/>
  <c r="M57" i="67" s="1"/>
  <c r="M59" i="67" s="1"/>
  <c r="P110" i="67"/>
  <c r="G51" i="67"/>
  <c r="G57" i="67" s="1"/>
  <c r="G59" i="67" s="1"/>
  <c r="P57" i="67" l="1"/>
  <c r="C59" i="67"/>
  <c r="P59" i="67" s="1"/>
  <c r="P51" i="67"/>
  <c r="B99" i="68"/>
  <c r="B101" i="68" l="1"/>
  <c r="B102" i="68" l="1"/>
  <c r="B103" i="68" s="1"/>
  <c r="B48" i="68" l="1"/>
  <c r="B54" i="68" l="1"/>
  <c r="B56" i="68" l="1"/>
  <c r="P95" i="68" l="1"/>
  <c r="F99" i="68"/>
  <c r="F101" i="68" s="1"/>
  <c r="F102" i="68" s="1"/>
  <c r="F103" i="68" s="1"/>
  <c r="C99" i="68"/>
  <c r="O99" i="68"/>
  <c r="J99" i="68"/>
  <c r="J101" i="68"/>
  <c r="J102" i="68" s="1"/>
  <c r="J103" i="68" s="1"/>
  <c r="H99" i="68"/>
  <c r="H101" i="68" s="1"/>
  <c r="H102" i="68" s="1"/>
  <c r="I99" i="68"/>
  <c r="K99" i="68"/>
  <c r="K101" i="68"/>
  <c r="K102" i="68" s="1"/>
  <c r="M99" i="68"/>
  <c r="E99" i="68"/>
  <c r="E101" i="68" s="1"/>
  <c r="E102" i="68" s="1"/>
  <c r="E103" i="68" s="1"/>
  <c r="N99" i="68"/>
  <c r="N101" i="68" s="1"/>
  <c r="N102" i="68" s="1"/>
  <c r="N103" i="68" s="1"/>
  <c r="L99" i="68"/>
  <c r="L101" i="68"/>
  <c r="L102" i="68" s="1"/>
  <c r="L103" i="68" s="1"/>
  <c r="G99" i="68"/>
  <c r="G101" i="68" s="1"/>
  <c r="G102" i="68" s="1"/>
  <c r="G103" i="68" s="1"/>
  <c r="H103" i="68" l="1"/>
  <c r="K103" i="68"/>
  <c r="K48" i="68" s="1"/>
  <c r="K54" i="68" s="1"/>
  <c r="K56" i="68" s="1"/>
  <c r="I101" i="68"/>
  <c r="I102" i="68" s="1"/>
  <c r="I103" i="68" s="1"/>
  <c r="I48" i="68" s="1"/>
  <c r="I54" i="68" s="1"/>
  <c r="I56" i="68" s="1"/>
  <c r="P99" i="68"/>
  <c r="H48" i="68"/>
  <c r="H54" i="68" s="1"/>
  <c r="H56" i="68" s="1"/>
  <c r="N48" i="68"/>
  <c r="N54" i="68" s="1"/>
  <c r="N56" i="68" s="1"/>
  <c r="E48" i="68"/>
  <c r="E54" i="68" s="1"/>
  <c r="E56" i="68" s="1"/>
  <c r="J48" i="68"/>
  <c r="J54" i="68" s="1"/>
  <c r="J56" i="68" s="1"/>
  <c r="G48" i="68"/>
  <c r="G54" i="68" s="1"/>
  <c r="G56" i="68" s="1"/>
  <c r="L48" i="68"/>
  <c r="L54" i="68" s="1"/>
  <c r="L56" i="68" s="1"/>
  <c r="F48" i="68"/>
  <c r="F54" i="68" s="1"/>
  <c r="F56" i="68" s="1"/>
  <c r="O101" i="68"/>
  <c r="O102" i="68" s="1"/>
  <c r="O103" i="68" s="1"/>
  <c r="C101" i="68"/>
  <c r="M101" i="68"/>
  <c r="M102" i="68" s="1"/>
  <c r="M103" i="68" s="1"/>
  <c r="O48" i="68" l="1"/>
  <c r="O54" i="68" s="1"/>
  <c r="O56" i="68" s="1"/>
  <c r="M48" i="68"/>
  <c r="M54" i="68" s="1"/>
  <c r="M56" i="68" s="1"/>
  <c r="P101" i="68"/>
  <c r="C102" i="68"/>
  <c r="C103" i="68" s="1"/>
  <c r="P102" i="68" l="1"/>
  <c r="C48" i="68" l="1"/>
  <c r="P103" i="68"/>
  <c r="P48" i="68" l="1"/>
  <c r="C54" i="68"/>
  <c r="P54" i="68" l="1"/>
  <c r="C56" i="68"/>
  <c r="P56" i="68" s="1"/>
  <c r="B127" i="70"/>
  <c r="B129" i="70" s="1"/>
  <c r="B130" i="70" s="1"/>
  <c r="B131" i="70" l="1"/>
  <c r="B53" i="70" l="1"/>
  <c r="B59" i="70" l="1"/>
  <c r="B61" i="70" l="1"/>
  <c r="P123" i="70" l="1"/>
  <c r="H127" i="70"/>
  <c r="H129" i="70"/>
  <c r="H130" i="70" s="1"/>
  <c r="H131" i="70" s="1"/>
  <c r="N127" i="70"/>
  <c r="O127" i="70"/>
  <c r="O129" i="70"/>
  <c r="O130" i="70" s="1"/>
  <c r="O131" i="70" s="1"/>
  <c r="G127" i="70"/>
  <c r="G129" i="70" s="1"/>
  <c r="G130" i="70" s="1"/>
  <c r="G131" i="70" s="1"/>
  <c r="K129" i="70"/>
  <c r="K130" i="70" s="1"/>
  <c r="K131" i="70" s="1"/>
  <c r="K127" i="70"/>
  <c r="J127" i="70"/>
  <c r="J129" i="70" s="1"/>
  <c r="J130" i="70" s="1"/>
  <c r="J131" i="70" s="1"/>
  <c r="F127" i="70"/>
  <c r="C127" i="70"/>
  <c r="I127" i="70"/>
  <c r="I129" i="70" s="1"/>
  <c r="I130" i="70" s="1"/>
  <c r="I131" i="70" s="1"/>
  <c r="L127" i="70"/>
  <c r="L129" i="70"/>
  <c r="L130" i="70" s="1"/>
  <c r="L131" i="70" s="1"/>
  <c r="M127" i="70"/>
  <c r="M129" i="70" s="1"/>
  <c r="M130" i="70" s="1"/>
  <c r="M131" i="70" s="1"/>
  <c r="E127" i="70"/>
  <c r="E129" i="70" l="1"/>
  <c r="E130" i="70" s="1"/>
  <c r="E131" i="70" s="1"/>
  <c r="E53" i="70" s="1"/>
  <c r="E59" i="70" s="1"/>
  <c r="E61" i="70" s="1"/>
  <c r="H53" i="70"/>
  <c r="H59" i="70" s="1"/>
  <c r="H61" i="70" s="1"/>
  <c r="N129" i="70"/>
  <c r="N130" i="70" s="1"/>
  <c r="N131" i="70" s="1"/>
  <c r="N53" i="70" s="1"/>
  <c r="N59" i="70" s="1"/>
  <c r="N61" i="70" s="1"/>
  <c r="K53" i="70"/>
  <c r="K59" i="70" s="1"/>
  <c r="K61" i="70" s="1"/>
  <c r="L53" i="70"/>
  <c r="L59" i="70" s="1"/>
  <c r="L61" i="70" s="1"/>
  <c r="G53" i="70"/>
  <c r="G59" i="70" s="1"/>
  <c r="G61" i="70" s="1"/>
  <c r="J53" i="70"/>
  <c r="J59" i="70" s="1"/>
  <c r="J61" i="70" s="1"/>
  <c r="O53" i="70"/>
  <c r="O59" i="70" s="1"/>
  <c r="O61" i="70" s="1"/>
  <c r="M53" i="70"/>
  <c r="M59" i="70" s="1"/>
  <c r="M61" i="70" s="1"/>
  <c r="I53" i="70"/>
  <c r="I59" i="70" s="1"/>
  <c r="I61" i="70" s="1"/>
  <c r="F129" i="70"/>
  <c r="F130" i="70" s="1"/>
  <c r="F131" i="70" s="1"/>
  <c r="C129" i="70"/>
  <c r="P127" i="70"/>
  <c r="F53" i="70" l="1"/>
  <c r="F59" i="70" s="1"/>
  <c r="F61" i="70" s="1"/>
  <c r="P129" i="70"/>
  <c r="C130" i="70"/>
  <c r="P130" i="70" l="1"/>
  <c r="C131" i="70"/>
  <c r="P131" i="70" l="1"/>
  <c r="C53" i="70"/>
  <c r="P53" i="70" l="1"/>
  <c r="C59" i="70"/>
  <c r="P59" i="70" l="1"/>
  <c r="C61" i="70"/>
  <c r="P61" i="70" s="1"/>
  <c r="B125" i="71"/>
  <c r="B127" i="71" l="1"/>
  <c r="B128" i="71" l="1"/>
  <c r="B129" i="71" l="1"/>
  <c r="B53" i="71" l="1"/>
  <c r="B59" i="71" l="1"/>
  <c r="B61" i="71" l="1"/>
  <c r="P121" i="71" l="1"/>
  <c r="E125" i="71"/>
  <c r="E127" i="71" s="1"/>
  <c r="E128" i="71" s="1"/>
  <c r="E129" i="71" s="1"/>
  <c r="M125" i="71"/>
  <c r="F125" i="71"/>
  <c r="F127" i="71" s="1"/>
  <c r="F128" i="71" s="1"/>
  <c r="F129" i="71" s="1"/>
  <c r="H125" i="71"/>
  <c r="L125" i="71"/>
  <c r="L127" i="71" s="1"/>
  <c r="L128" i="71" s="1"/>
  <c r="L129" i="71" s="1"/>
  <c r="G125" i="71"/>
  <c r="D125" i="71"/>
  <c r="C125" i="71"/>
  <c r="N125" i="71"/>
  <c r="I125" i="71"/>
  <c r="K125" i="71"/>
  <c r="J125" i="71"/>
  <c r="J127" i="71" s="1"/>
  <c r="J128" i="71" s="1"/>
  <c r="J129" i="71" s="1"/>
  <c r="O125" i="71"/>
  <c r="I127" i="71" l="1"/>
  <c r="I128" i="71" s="1"/>
  <c r="I129" i="71" s="1"/>
  <c r="I53" i="71" s="1"/>
  <c r="I59" i="71" s="1"/>
  <c r="I61" i="71" s="1"/>
  <c r="K127" i="71"/>
  <c r="K128" i="71" s="1"/>
  <c r="K129" i="71" s="1"/>
  <c r="K53" i="71" s="1"/>
  <c r="K59" i="71" s="1"/>
  <c r="K61" i="71" s="1"/>
  <c r="M127" i="71"/>
  <c r="M128" i="71" s="1"/>
  <c r="M129" i="71" s="1"/>
  <c r="M53" i="71" s="1"/>
  <c r="M59" i="71" s="1"/>
  <c r="M61" i="71" s="1"/>
  <c r="G127" i="71"/>
  <c r="G128" i="71" s="1"/>
  <c r="G129" i="71" s="1"/>
  <c r="G53" i="71" s="1"/>
  <c r="G59" i="71" s="1"/>
  <c r="G61" i="71" s="1"/>
  <c r="H127" i="71"/>
  <c r="H128" i="71" s="1"/>
  <c r="H129" i="71" s="1"/>
  <c r="H53" i="71" s="1"/>
  <c r="H59" i="71" s="1"/>
  <c r="H61" i="71" s="1"/>
  <c r="O127" i="71"/>
  <c r="O128" i="71" s="1"/>
  <c r="O129" i="71" s="1"/>
  <c r="N127" i="71"/>
  <c r="N128" i="71" s="1"/>
  <c r="N129" i="71" s="1"/>
  <c r="N53" i="71" s="1"/>
  <c r="N59" i="71" s="1"/>
  <c r="N61" i="71" s="1"/>
  <c r="L53" i="71"/>
  <c r="L59" i="71" s="1"/>
  <c r="L61" i="71" s="1"/>
  <c r="E53" i="71"/>
  <c r="E59" i="71" s="1"/>
  <c r="E61" i="71" s="1"/>
  <c r="F53" i="71"/>
  <c r="F59" i="71" s="1"/>
  <c r="F61" i="71" s="1"/>
  <c r="P125" i="71"/>
  <c r="C127" i="71"/>
  <c r="D127" i="71"/>
  <c r="D128" i="71" s="1"/>
  <c r="D129" i="71" s="1"/>
  <c r="J53" i="71"/>
  <c r="J59" i="71" s="1"/>
  <c r="J61" i="71" s="1"/>
  <c r="O53" i="71" l="1"/>
  <c r="O59" i="71" s="1"/>
  <c r="O61" i="71" s="1"/>
  <c r="C128" i="71"/>
  <c r="P127" i="71"/>
  <c r="D53" i="71"/>
  <c r="D59" i="71" s="1"/>
  <c r="D61" i="71" s="1"/>
  <c r="C129" i="71" l="1"/>
  <c r="P128" i="71"/>
  <c r="C53" i="71" l="1"/>
  <c r="P129" i="71"/>
  <c r="C59" i="71" l="1"/>
  <c r="P53" i="71"/>
  <c r="P59" i="71" l="1"/>
  <c r="C61" i="71"/>
  <c r="P61" i="71" s="1"/>
  <c r="B100" i="72"/>
  <c r="B102" i="72" l="1"/>
  <c r="B103" i="72" l="1"/>
  <c r="B104" i="72" l="1"/>
  <c r="B110" i="72" s="1"/>
  <c r="B111" i="72" l="1"/>
  <c r="B49" i="72"/>
  <c r="B55" i="72" l="1"/>
  <c r="B113" i="72"/>
  <c r="B112" i="72"/>
  <c r="B57" i="72" l="1"/>
  <c r="B114" i="72"/>
  <c r="P96" i="72" l="1"/>
  <c r="H100" i="72"/>
  <c r="J100" i="72"/>
  <c r="J102" i="72" s="1"/>
  <c r="J103" i="72" s="1"/>
  <c r="G100" i="72"/>
  <c r="F100" i="72"/>
  <c r="F102" i="72"/>
  <c r="F103" i="72" s="1"/>
  <c r="L100" i="72"/>
  <c r="L102" i="72" s="1"/>
  <c r="L103" i="72" s="1"/>
  <c r="N100" i="72"/>
  <c r="D100" i="72"/>
  <c r="D102" i="72" s="1"/>
  <c r="D103" i="72" s="1"/>
  <c r="M100" i="72"/>
  <c r="I100" i="72"/>
  <c r="I102" i="72" s="1"/>
  <c r="I103" i="72" s="1"/>
  <c r="I104" i="72" s="1"/>
  <c r="K100" i="72"/>
  <c r="K102" i="72" s="1"/>
  <c r="K103" i="72" s="1"/>
  <c r="O100" i="72"/>
  <c r="C100" i="72"/>
  <c r="C102" i="72" s="1"/>
  <c r="C103" i="72" s="1"/>
  <c r="E100" i="72"/>
  <c r="E102" i="72" s="1"/>
  <c r="E103" i="72" s="1"/>
  <c r="E104" i="72" s="1"/>
  <c r="M102" i="72" l="1"/>
  <c r="M103" i="72" s="1"/>
  <c r="M104" i="72" s="1"/>
  <c r="M110" i="72" s="1"/>
  <c r="M111" i="72" s="1"/>
  <c r="I49" i="72"/>
  <c r="I55" i="72" s="1"/>
  <c r="I57" i="72" s="1"/>
  <c r="D104" i="72"/>
  <c r="D110" i="72" s="1"/>
  <c r="D111" i="72" s="1"/>
  <c r="E49" i="72"/>
  <c r="E55" i="72" s="1"/>
  <c r="E57" i="72" s="1"/>
  <c r="F104" i="72"/>
  <c r="F110" i="72" s="1"/>
  <c r="F111" i="72" s="1"/>
  <c r="G102" i="72"/>
  <c r="G103" i="72" s="1"/>
  <c r="N102" i="72"/>
  <c r="N103" i="72" s="1"/>
  <c r="J104" i="72"/>
  <c r="P100" i="72"/>
  <c r="H102" i="72"/>
  <c r="H103" i="72" s="1"/>
  <c r="I110" i="72"/>
  <c r="I111" i="72" s="1"/>
  <c r="E110" i="72"/>
  <c r="E111" i="72" s="1"/>
  <c r="C104" i="72"/>
  <c r="C110" i="72" s="1"/>
  <c r="O102" i="72"/>
  <c r="O103" i="72" s="1"/>
  <c r="K104" i="72"/>
  <c r="L104" i="72"/>
  <c r="M112" i="72" l="1"/>
  <c r="M113" i="72"/>
  <c r="J49" i="72"/>
  <c r="J55" i="72" s="1"/>
  <c r="J57" i="72" s="1"/>
  <c r="C111" i="72"/>
  <c r="K49" i="72"/>
  <c r="K55" i="72" s="1"/>
  <c r="K57" i="72" s="1"/>
  <c r="I112" i="72"/>
  <c r="I113" i="72"/>
  <c r="I114" i="72" s="1"/>
  <c r="K110" i="72"/>
  <c r="K111" i="72" s="1"/>
  <c r="N104" i="72"/>
  <c r="G104" i="72"/>
  <c r="G110" i="72" s="1"/>
  <c r="G111" i="72" s="1"/>
  <c r="L49" i="72"/>
  <c r="L55" i="72" s="1"/>
  <c r="L57" i="72" s="1"/>
  <c r="M49" i="72"/>
  <c r="M55" i="72" s="1"/>
  <c r="M57" i="72" s="1"/>
  <c r="D113" i="72"/>
  <c r="D114" i="72" s="1"/>
  <c r="D112" i="72"/>
  <c r="O104" i="72"/>
  <c r="O110" i="72" s="1"/>
  <c r="O111" i="72" s="1"/>
  <c r="F49" i="72"/>
  <c r="F55" i="72" s="1"/>
  <c r="F57" i="72" s="1"/>
  <c r="P102" i="72"/>
  <c r="E113" i="72"/>
  <c r="E114" i="72" s="1"/>
  <c r="E112" i="72"/>
  <c r="L110" i="72"/>
  <c r="L111" i="72" s="1"/>
  <c r="C49" i="72"/>
  <c r="H104" i="72"/>
  <c r="J110" i="72"/>
  <c r="J111" i="72" s="1"/>
  <c r="P103" i="72"/>
  <c r="F112" i="72"/>
  <c r="F113" i="72"/>
  <c r="F114" i="72" s="1"/>
  <c r="D49" i="72"/>
  <c r="D55" i="72" s="1"/>
  <c r="D57" i="72" s="1"/>
  <c r="P104" i="72" l="1"/>
  <c r="G112" i="72"/>
  <c r="G113" i="72"/>
  <c r="G114" i="72" s="1"/>
  <c r="J113" i="72"/>
  <c r="J114" i="72" s="1"/>
  <c r="J112" i="72"/>
  <c r="G49" i="72"/>
  <c r="G55" i="72" s="1"/>
  <c r="G57" i="72" s="1"/>
  <c r="O112" i="72"/>
  <c r="O113" i="72"/>
  <c r="O114" i="72" s="1"/>
  <c r="H49" i="72"/>
  <c r="H55" i="72" s="1"/>
  <c r="H57" i="72" s="1"/>
  <c r="N49" i="72"/>
  <c r="N55" i="72" s="1"/>
  <c r="N57" i="72" s="1"/>
  <c r="C113" i="72"/>
  <c r="C112" i="72"/>
  <c r="K113" i="72"/>
  <c r="K114" i="72" s="1"/>
  <c r="K112" i="72"/>
  <c r="C55" i="72"/>
  <c r="H110" i="72"/>
  <c r="H111" i="72" s="1"/>
  <c r="L112" i="72"/>
  <c r="L113" i="72"/>
  <c r="L114" i="72" s="1"/>
  <c r="O49" i="72"/>
  <c r="O55" i="72" s="1"/>
  <c r="O57" i="72" s="1"/>
  <c r="N110" i="72"/>
  <c r="N111" i="72" s="1"/>
  <c r="N112" i="72" l="1"/>
  <c r="N113" i="72"/>
  <c r="N114" i="72" s="1"/>
  <c r="P55" i="72"/>
  <c r="C57" i="72"/>
  <c r="P57" i="72" s="1"/>
  <c r="P111" i="72"/>
  <c r="P110" i="72"/>
  <c r="H113" i="72"/>
  <c r="H114" i="72" s="1"/>
  <c r="H112" i="72"/>
  <c r="P49" i="72"/>
  <c r="C114" i="72"/>
  <c r="P112" i="72" l="1"/>
  <c r="P113" i="72"/>
  <c r="P114" i="72"/>
  <c r="B103" i="73"/>
  <c r="B105" i="73" s="1"/>
  <c r="B106" i="73" s="1"/>
  <c r="B107" i="73" s="1"/>
  <c r="B48" i="73" l="1"/>
  <c r="B54" i="73" l="1"/>
  <c r="B56" i="73" l="1"/>
  <c r="B57" i="73"/>
  <c r="B47" i="74" l="1"/>
  <c r="M99" i="73" l="1"/>
  <c r="D103" i="73"/>
  <c r="D105" i="73"/>
  <c r="D106" i="73" s="1"/>
  <c r="D107" i="73" s="1"/>
  <c r="G103" i="73"/>
  <c r="G105" i="73" s="1"/>
  <c r="G106" i="73" s="1"/>
  <c r="G107" i="73" s="1"/>
  <c r="I103" i="73"/>
  <c r="C103" i="73"/>
  <c r="K103" i="73"/>
  <c r="K105" i="73" s="1"/>
  <c r="K106" i="73" s="1"/>
  <c r="L103" i="73"/>
  <c r="E103" i="73"/>
  <c r="F103" i="73"/>
  <c r="F105" i="73" s="1"/>
  <c r="F106" i="73" s="1"/>
  <c r="F107" i="73" s="1"/>
  <c r="J103" i="73"/>
  <c r="H103" i="73"/>
  <c r="H105" i="73" s="1"/>
  <c r="H106" i="73" s="1"/>
  <c r="H107" i="73" s="1"/>
  <c r="L105" i="73" l="1"/>
  <c r="L106" i="73" s="1"/>
  <c r="L107" i="73" s="1"/>
  <c r="I105" i="73"/>
  <c r="I106" i="73" s="1"/>
  <c r="I107" i="73" s="1"/>
  <c r="E105" i="73"/>
  <c r="E106" i="73" s="1"/>
  <c r="E107" i="73" s="1"/>
  <c r="M103" i="73"/>
  <c r="G48" i="73"/>
  <c r="G54" i="73" s="1"/>
  <c r="H48" i="73"/>
  <c r="H54" i="73" s="1"/>
  <c r="F48" i="73"/>
  <c r="F54" i="73" s="1"/>
  <c r="D48" i="73"/>
  <c r="D54" i="73" s="1"/>
  <c r="J100" i="74"/>
  <c r="L100" i="74" s="1"/>
  <c r="K107" i="73"/>
  <c r="C105" i="73"/>
  <c r="J105" i="73"/>
  <c r="J106" i="73" s="1"/>
  <c r="J107" i="73" s="1"/>
  <c r="L48" i="73" l="1"/>
  <c r="L54" i="73" s="1"/>
  <c r="L56" i="73" s="1"/>
  <c r="I48" i="73"/>
  <c r="I54" i="73" s="1"/>
  <c r="I56" i="73" s="1"/>
  <c r="E48" i="73"/>
  <c r="E54" i="73" s="1"/>
  <c r="E56" i="73" s="1"/>
  <c r="C106" i="73"/>
  <c r="M105" i="73"/>
  <c r="H57" i="73"/>
  <c r="H47" i="74" s="1"/>
  <c r="H56" i="73"/>
  <c r="F57" i="73"/>
  <c r="F47" i="74" s="1"/>
  <c r="F56" i="73"/>
  <c r="I57" i="73"/>
  <c r="K48" i="73"/>
  <c r="K54" i="73" s="1"/>
  <c r="D57" i="73"/>
  <c r="D56" i="73"/>
  <c r="G57" i="73"/>
  <c r="G47" i="74" s="1"/>
  <c r="G56" i="73"/>
  <c r="J48" i="73"/>
  <c r="L57" i="73" l="1"/>
  <c r="E57" i="73"/>
  <c r="E47" i="74" s="1"/>
  <c r="K56" i="73"/>
  <c r="K57" i="73"/>
  <c r="K47" i="74" s="1"/>
  <c r="C107" i="73"/>
  <c r="M106" i="73"/>
  <c r="M107" i="73" l="1"/>
  <c r="C48" i="73"/>
  <c r="M48" i="73" l="1"/>
  <c r="C54" i="73"/>
  <c r="C57" i="73" l="1"/>
  <c r="C56" i="73"/>
  <c r="C47" i="74" l="1"/>
  <c r="B94" i="74" l="1"/>
  <c r="B99" i="74" s="1"/>
  <c r="B96" i="74" l="1"/>
  <c r="B97" i="74" l="1"/>
  <c r="B98" i="74" l="1"/>
  <c r="B101" i="74" l="1"/>
  <c r="B46" i="74"/>
  <c r="B51" i="74" l="1"/>
  <c r="B53" i="74" l="1"/>
  <c r="L90" i="74"/>
  <c r="E94" i="74"/>
  <c r="E99" i="74" s="1"/>
  <c r="E96" i="74"/>
  <c r="E97" i="74" s="1"/>
  <c r="E98" i="74" s="1"/>
  <c r="H94" i="74"/>
  <c r="H99" i="74" s="1"/>
  <c r="G94" i="74"/>
  <c r="G99" i="74" s="1"/>
  <c r="G96" i="74"/>
  <c r="G97" i="74"/>
  <c r="G98" i="74" s="1"/>
  <c r="D94" i="74"/>
  <c r="D99" i="74" s="1"/>
  <c r="D96" i="74"/>
  <c r="D97" i="74" s="1"/>
  <c r="D98" i="74" s="1"/>
  <c r="J94" i="74"/>
  <c r="J99" i="74" s="1"/>
  <c r="F94" i="74"/>
  <c r="F99" i="74" s="1"/>
  <c r="C94" i="74"/>
  <c r="C96" i="74" s="1"/>
  <c r="K94" i="74"/>
  <c r="K96" i="74" s="1"/>
  <c r="K97" i="74" s="1"/>
  <c r="K98" i="74" s="1"/>
  <c r="I94" i="74"/>
  <c r="I99" i="74" s="1"/>
  <c r="E101" i="74" l="1"/>
  <c r="E46" i="74"/>
  <c r="E51" i="74" s="1"/>
  <c r="E53" i="74" s="1"/>
  <c r="D101" i="74"/>
  <c r="D46" i="74"/>
  <c r="D51" i="74" s="1"/>
  <c r="D53" i="74" s="1"/>
  <c r="G46" i="74"/>
  <c r="G51" i="74" s="1"/>
  <c r="G53" i="74" s="1"/>
  <c r="G101" i="74"/>
  <c r="K101" i="74"/>
  <c r="K46" i="74"/>
  <c r="K51" i="74" s="1"/>
  <c r="K53" i="74" s="1"/>
  <c r="C97" i="74"/>
  <c r="F96" i="74"/>
  <c r="F97" i="74" s="1"/>
  <c r="F98" i="74" s="1"/>
  <c r="C99" i="74"/>
  <c r="I96" i="74"/>
  <c r="I97" i="74" s="1"/>
  <c r="I98" i="74" s="1"/>
  <c r="J96" i="74"/>
  <c r="J97" i="74" s="1"/>
  <c r="J98" i="74" s="1"/>
  <c r="K99" i="74"/>
  <c r="L94" i="74"/>
  <c r="H96" i="74"/>
  <c r="H97" i="74" s="1"/>
  <c r="H98" i="74" s="1"/>
  <c r="L99" i="74" l="1"/>
  <c r="F101" i="74"/>
  <c r="F46" i="74"/>
  <c r="F51" i="74" s="1"/>
  <c r="F53" i="74" s="1"/>
  <c r="J101" i="74"/>
  <c r="J46" i="74"/>
  <c r="J51" i="74" s="1"/>
  <c r="J53" i="74" s="1"/>
  <c r="L97" i="74"/>
  <c r="C98" i="74"/>
  <c r="H101" i="74"/>
  <c r="H46" i="74"/>
  <c r="H51" i="74" s="1"/>
  <c r="H53" i="74" s="1"/>
  <c r="I101" i="74"/>
  <c r="I46" i="74"/>
  <c r="L96" i="74"/>
  <c r="C101" i="74" l="1"/>
  <c r="L101" i="74" s="1"/>
  <c r="L98" i="74"/>
  <c r="C46" i="74"/>
  <c r="C51" i="74" l="1"/>
  <c r="L46" i="74"/>
  <c r="C53" i="74" l="1"/>
  <c r="B104" i="50"/>
  <c r="B106" i="50" l="1"/>
  <c r="B107" i="50" l="1"/>
  <c r="B108" i="50" s="1"/>
  <c r="B109" i="50"/>
  <c r="B102" i="63" l="1"/>
  <c r="B110" i="50"/>
  <c r="B51" i="50"/>
  <c r="B103" i="63" l="1"/>
  <c r="B91" i="64"/>
  <c r="B64" i="50"/>
  <c r="B126" i="66" l="1"/>
  <c r="B92" i="64"/>
  <c r="B66" i="50"/>
  <c r="B67" i="50"/>
  <c r="B127" i="66" l="1"/>
  <c r="B113" i="67"/>
  <c r="B51" i="63"/>
  <c r="B104" i="68" l="1"/>
  <c r="B57" i="63"/>
  <c r="B114" i="67"/>
  <c r="B59" i="63" l="1"/>
  <c r="B105" i="68"/>
  <c r="B132" i="70"/>
  <c r="B133" i="70" l="1"/>
  <c r="B130" i="71"/>
  <c r="B105" i="72" l="1"/>
  <c r="B131" i="71"/>
  <c r="B106" i="72" l="1"/>
  <c r="B109" i="73"/>
  <c r="B145" i="74" l="1"/>
  <c r="B150" i="74" s="1"/>
  <c r="B151" i="74" s="1"/>
  <c r="B152" i="74" s="1"/>
  <c r="B153" i="74" s="1"/>
  <c r="B110" i="73"/>
  <c r="B146" i="74" l="1"/>
  <c r="B154" i="74" s="1"/>
  <c r="P100" i="50"/>
  <c r="N104" i="50"/>
  <c r="N106" i="50"/>
  <c r="O104" i="50"/>
  <c r="O106" i="50"/>
  <c r="O109" i="50" s="1"/>
  <c r="O102" i="63" s="1"/>
  <c r="O91" i="64" s="1"/>
  <c r="O126" i="66" s="1"/>
  <c r="O113" i="67" s="1"/>
  <c r="O104" i="68" s="1"/>
  <c r="O132" i="70" s="1"/>
  <c r="O130" i="71" s="1"/>
  <c r="O105" i="72" s="1"/>
  <c r="L109" i="73" s="1"/>
  <c r="K145" i="74" s="1"/>
  <c r="K150" i="74" s="1"/>
  <c r="K151" i="74" s="1"/>
  <c r="K152" i="74" s="1"/>
  <c r="K153" i="74" s="1"/>
  <c r="C104" i="50"/>
  <c r="E104" i="50"/>
  <c r="E106" i="50"/>
  <c r="E109" i="50" s="1"/>
  <c r="E102" i="63" s="1"/>
  <c r="E91" i="64" s="1"/>
  <c r="E126" i="66" s="1"/>
  <c r="E113" i="67" s="1"/>
  <c r="E104" i="68" s="1"/>
  <c r="E132" i="70" s="1"/>
  <c r="E130" i="71" s="1"/>
  <c r="E105" i="72" s="1"/>
  <c r="D109" i="73" s="1"/>
  <c r="K104" i="50"/>
  <c r="K106" i="50" s="1"/>
  <c r="G104" i="50"/>
  <c r="G106" i="50" s="1"/>
  <c r="L104" i="50"/>
  <c r="L106" i="50"/>
  <c r="L107" i="50" s="1"/>
  <c r="L108" i="50" s="1"/>
  <c r="J104" i="50"/>
  <c r="J106" i="50" s="1"/>
  <c r="F104" i="50"/>
  <c r="F106" i="50"/>
  <c r="F107" i="50" s="1"/>
  <c r="F108" i="50" s="1"/>
  <c r="I104" i="50"/>
  <c r="I106" i="50"/>
  <c r="I107" i="50" s="1"/>
  <c r="I108" i="50" s="1"/>
  <c r="M104" i="50"/>
  <c r="M106" i="50" s="1"/>
  <c r="H104" i="50"/>
  <c r="H106" i="50" s="1"/>
  <c r="D104" i="50"/>
  <c r="D106" i="50"/>
  <c r="D107" i="50" s="1"/>
  <c r="D108" i="50" s="1"/>
  <c r="I110" i="50" l="1"/>
  <c r="I103" i="63" s="1"/>
  <c r="I92" i="64" s="1"/>
  <c r="I127" i="66" s="1"/>
  <c r="I114" i="67" s="1"/>
  <c r="I105" i="68" s="1"/>
  <c r="I133" i="70" s="1"/>
  <c r="I131" i="71" s="1"/>
  <c r="I106" i="72" s="1"/>
  <c r="G110" i="73" s="1"/>
  <c r="F146" i="74" s="1"/>
  <c r="I51" i="50"/>
  <c r="I64" i="50" s="1"/>
  <c r="K109" i="50"/>
  <c r="K102" i="63" s="1"/>
  <c r="K91" i="64" s="1"/>
  <c r="K126" i="66" s="1"/>
  <c r="K113" i="67" s="1"/>
  <c r="K104" i="68" s="1"/>
  <c r="K132" i="70" s="1"/>
  <c r="K130" i="71" s="1"/>
  <c r="K105" i="72" s="1"/>
  <c r="I109" i="73" s="1"/>
  <c r="H145" i="74" s="1"/>
  <c r="H150" i="74" s="1"/>
  <c r="H151" i="74" s="1"/>
  <c r="H152" i="74" s="1"/>
  <c r="H153" i="74" s="1"/>
  <c r="K107" i="50"/>
  <c r="K108" i="50" s="1"/>
  <c r="M107" i="50"/>
  <c r="M108" i="50" s="1"/>
  <c r="M109" i="50"/>
  <c r="M102" i="63" s="1"/>
  <c r="M91" i="64" s="1"/>
  <c r="M126" i="66" s="1"/>
  <c r="M113" i="67" s="1"/>
  <c r="M104" i="68" s="1"/>
  <c r="M132" i="70" s="1"/>
  <c r="M130" i="71" s="1"/>
  <c r="M105" i="72" s="1"/>
  <c r="K109" i="73" s="1"/>
  <c r="J145" i="74" s="1"/>
  <c r="J150" i="74" s="1"/>
  <c r="J151" i="74" s="1"/>
  <c r="J152" i="74" s="1"/>
  <c r="J153" i="74" s="1"/>
  <c r="G107" i="50"/>
  <c r="G108" i="50" s="1"/>
  <c r="G109" i="50"/>
  <c r="G102" i="63" s="1"/>
  <c r="G91" i="64" s="1"/>
  <c r="G126" i="66" s="1"/>
  <c r="G113" i="67" s="1"/>
  <c r="G104" i="68" s="1"/>
  <c r="G132" i="70" s="1"/>
  <c r="G130" i="71" s="1"/>
  <c r="G105" i="72" s="1"/>
  <c r="F109" i="73" s="1"/>
  <c r="E145" i="74" s="1"/>
  <c r="E150" i="74" s="1"/>
  <c r="E151" i="74" s="1"/>
  <c r="E152" i="74" s="1"/>
  <c r="E153" i="74" s="1"/>
  <c r="L110" i="50"/>
  <c r="L103" i="63" s="1"/>
  <c r="L92" i="64" s="1"/>
  <c r="L127" i="66" s="1"/>
  <c r="L114" i="67" s="1"/>
  <c r="L105" i="68" s="1"/>
  <c r="L133" i="70" s="1"/>
  <c r="L131" i="71" s="1"/>
  <c r="L106" i="72" s="1"/>
  <c r="J108" i="73" s="1"/>
  <c r="L51" i="50"/>
  <c r="L64" i="50" s="1"/>
  <c r="D110" i="50"/>
  <c r="D103" i="63" s="1"/>
  <c r="D92" i="64" s="1"/>
  <c r="D127" i="66" s="1"/>
  <c r="D114" i="67" s="1"/>
  <c r="D105" i="68" s="1"/>
  <c r="D133" i="70" s="1"/>
  <c r="D131" i="71" s="1"/>
  <c r="D106" i="72" s="1"/>
  <c r="C110" i="73" s="1"/>
  <c r="D51" i="50"/>
  <c r="D64" i="50" s="1"/>
  <c r="J107" i="50"/>
  <c r="J108" i="50" s="1"/>
  <c r="J109" i="50"/>
  <c r="J102" i="63" s="1"/>
  <c r="J91" i="64" s="1"/>
  <c r="J126" i="66" s="1"/>
  <c r="J113" i="67" s="1"/>
  <c r="J104" i="68" s="1"/>
  <c r="J132" i="70" s="1"/>
  <c r="J130" i="71" s="1"/>
  <c r="J105" i="72" s="1"/>
  <c r="H109" i="73" s="1"/>
  <c r="G145" i="74" s="1"/>
  <c r="G150" i="74" s="1"/>
  <c r="G151" i="74" s="1"/>
  <c r="G152" i="74" s="1"/>
  <c r="G153" i="74" s="1"/>
  <c r="H109" i="50"/>
  <c r="H102" i="63" s="1"/>
  <c r="H91" i="64" s="1"/>
  <c r="H126" i="66" s="1"/>
  <c r="H113" i="67" s="1"/>
  <c r="H104" i="68" s="1"/>
  <c r="H132" i="70" s="1"/>
  <c r="H130" i="71" s="1"/>
  <c r="H105" i="72" s="1"/>
  <c r="H107" i="50"/>
  <c r="H108" i="50" s="1"/>
  <c r="F110" i="50"/>
  <c r="F103" i="63" s="1"/>
  <c r="F92" i="64" s="1"/>
  <c r="F127" i="66" s="1"/>
  <c r="F114" i="67" s="1"/>
  <c r="F105" i="68" s="1"/>
  <c r="F133" i="70" s="1"/>
  <c r="F131" i="71" s="1"/>
  <c r="F106" i="72" s="1"/>
  <c r="E110" i="73" s="1"/>
  <c r="D146" i="74" s="1"/>
  <c r="F51" i="50"/>
  <c r="F64" i="50" s="1"/>
  <c r="P104" i="50"/>
  <c r="D109" i="50"/>
  <c r="D102" i="63" s="1"/>
  <c r="D91" i="64" s="1"/>
  <c r="D126" i="66" s="1"/>
  <c r="D113" i="67" s="1"/>
  <c r="D104" i="68" s="1"/>
  <c r="D132" i="70" s="1"/>
  <c r="D130" i="71" s="1"/>
  <c r="D105" i="72" s="1"/>
  <c r="C109" i="73" s="1"/>
  <c r="I109" i="50"/>
  <c r="I102" i="63" s="1"/>
  <c r="I91" i="64" s="1"/>
  <c r="I126" i="66" s="1"/>
  <c r="I113" i="67" s="1"/>
  <c r="I104" i="68" s="1"/>
  <c r="I132" i="70" s="1"/>
  <c r="I130" i="71" s="1"/>
  <c r="I105" i="72" s="1"/>
  <c r="G109" i="73" s="1"/>
  <c r="F145" i="74" s="1"/>
  <c r="F150" i="74" s="1"/>
  <c r="F151" i="74" s="1"/>
  <c r="F152" i="74" s="1"/>
  <c r="F153" i="74" s="1"/>
  <c r="F154" i="74" s="1"/>
  <c r="F109" i="50"/>
  <c r="F102" i="63" s="1"/>
  <c r="F91" i="64" s="1"/>
  <c r="F126" i="66" s="1"/>
  <c r="F113" i="67" s="1"/>
  <c r="F104" i="68" s="1"/>
  <c r="F132" i="70" s="1"/>
  <c r="F130" i="71" s="1"/>
  <c r="F105" i="72" s="1"/>
  <c r="E109" i="73" s="1"/>
  <c r="D145" i="74" s="1"/>
  <c r="D150" i="74" s="1"/>
  <c r="D151" i="74" s="1"/>
  <c r="D152" i="74" s="1"/>
  <c r="D153" i="74" s="1"/>
  <c r="L109" i="50"/>
  <c r="L102" i="63" s="1"/>
  <c r="L91" i="64" s="1"/>
  <c r="L126" i="66" s="1"/>
  <c r="L113" i="67" s="1"/>
  <c r="L104" i="68" s="1"/>
  <c r="L132" i="70" s="1"/>
  <c r="L130" i="71" s="1"/>
  <c r="L105" i="72" s="1"/>
  <c r="J109" i="73" s="1"/>
  <c r="I145" i="74" s="1"/>
  <c r="I150" i="74" s="1"/>
  <c r="I151" i="74" s="1"/>
  <c r="I152" i="74" s="1"/>
  <c r="I153" i="74" s="1"/>
  <c r="E107" i="50"/>
  <c r="E108" i="50" s="1"/>
  <c r="N109" i="50"/>
  <c r="N102" i="63" s="1"/>
  <c r="N91" i="64" s="1"/>
  <c r="N126" i="66" s="1"/>
  <c r="N113" i="67" s="1"/>
  <c r="N104" i="68" s="1"/>
  <c r="N132" i="70" s="1"/>
  <c r="N130" i="71" s="1"/>
  <c r="N105" i="72" s="1"/>
  <c r="N107" i="50"/>
  <c r="N108" i="50" s="1"/>
  <c r="C106" i="50"/>
  <c r="O107" i="50"/>
  <c r="O108" i="50" s="1"/>
  <c r="D154" i="74" l="1"/>
  <c r="N110" i="50"/>
  <c r="N103" i="63" s="1"/>
  <c r="N92" i="64" s="1"/>
  <c r="N127" i="66" s="1"/>
  <c r="N114" i="67" s="1"/>
  <c r="N105" i="68" s="1"/>
  <c r="N133" i="70" s="1"/>
  <c r="N131" i="71" s="1"/>
  <c r="N106" i="72" s="1"/>
  <c r="N51" i="50"/>
  <c r="N64" i="50" s="1"/>
  <c r="P106" i="50"/>
  <c r="C109" i="50"/>
  <c r="C107" i="50"/>
  <c r="C108" i="50" s="1"/>
  <c r="C146" i="74"/>
  <c r="K110" i="50"/>
  <c r="K103" i="63" s="1"/>
  <c r="K92" i="64" s="1"/>
  <c r="K127" i="66" s="1"/>
  <c r="K114" i="67" s="1"/>
  <c r="K105" i="68" s="1"/>
  <c r="K133" i="70" s="1"/>
  <c r="K131" i="71" s="1"/>
  <c r="K106" i="72" s="1"/>
  <c r="I110" i="73" s="1"/>
  <c r="H146" i="74" s="1"/>
  <c r="H154" i="74" s="1"/>
  <c r="K51" i="50"/>
  <c r="K64" i="50" s="1"/>
  <c r="F67" i="50"/>
  <c r="F51" i="63" s="1"/>
  <c r="F57" i="63" s="1"/>
  <c r="F59" i="63" s="1"/>
  <c r="F66" i="50"/>
  <c r="L67" i="50"/>
  <c r="L51" i="63" s="1"/>
  <c r="L57" i="63" s="1"/>
  <c r="L59" i="63" s="1"/>
  <c r="L66" i="50"/>
  <c r="G110" i="50"/>
  <c r="G103" i="63" s="1"/>
  <c r="G92" i="64" s="1"/>
  <c r="G127" i="66" s="1"/>
  <c r="G114" i="67" s="1"/>
  <c r="G105" i="68" s="1"/>
  <c r="G133" i="70" s="1"/>
  <c r="G131" i="71" s="1"/>
  <c r="G106" i="72" s="1"/>
  <c r="F110" i="73" s="1"/>
  <c r="E146" i="74" s="1"/>
  <c r="E154" i="74" s="1"/>
  <c r="G51" i="50"/>
  <c r="G64" i="50" s="1"/>
  <c r="J110" i="50"/>
  <c r="J103" i="63" s="1"/>
  <c r="J92" i="64" s="1"/>
  <c r="J127" i="66" s="1"/>
  <c r="J114" i="67" s="1"/>
  <c r="J105" i="68" s="1"/>
  <c r="J133" i="70" s="1"/>
  <c r="J131" i="71" s="1"/>
  <c r="J106" i="72" s="1"/>
  <c r="H110" i="73" s="1"/>
  <c r="G146" i="74" s="1"/>
  <c r="G154" i="74" s="1"/>
  <c r="J51" i="50"/>
  <c r="J64" i="50" s="1"/>
  <c r="M108" i="73"/>
  <c r="J110" i="73"/>
  <c r="I146" i="74" s="1"/>
  <c r="I154" i="74" s="1"/>
  <c r="J49" i="73"/>
  <c r="I66" i="50"/>
  <c r="I67" i="50"/>
  <c r="I51" i="63" s="1"/>
  <c r="I57" i="63" s="1"/>
  <c r="I59" i="63" s="1"/>
  <c r="O110" i="50"/>
  <c r="O103" i="63" s="1"/>
  <c r="O92" i="64" s="1"/>
  <c r="O127" i="66" s="1"/>
  <c r="O114" i="67" s="1"/>
  <c r="O105" i="68" s="1"/>
  <c r="O133" i="70" s="1"/>
  <c r="O131" i="71" s="1"/>
  <c r="O106" i="72" s="1"/>
  <c r="L110" i="73" s="1"/>
  <c r="K146" i="74" s="1"/>
  <c r="K154" i="74" s="1"/>
  <c r="O51" i="50"/>
  <c r="O64" i="50" s="1"/>
  <c r="E110" i="50"/>
  <c r="E103" i="63" s="1"/>
  <c r="E92" i="64" s="1"/>
  <c r="E127" i="66" s="1"/>
  <c r="E114" i="67" s="1"/>
  <c r="E105" i="68" s="1"/>
  <c r="E133" i="70" s="1"/>
  <c r="E131" i="71" s="1"/>
  <c r="E106" i="72" s="1"/>
  <c r="D110" i="73" s="1"/>
  <c r="E51" i="50"/>
  <c r="E64" i="50" s="1"/>
  <c r="M109" i="73"/>
  <c r="C145" i="74"/>
  <c r="C150" i="74" s="1"/>
  <c r="C151" i="74" s="1"/>
  <c r="C152" i="74" s="1"/>
  <c r="C153" i="74" s="1"/>
  <c r="H110" i="50"/>
  <c r="H103" i="63" s="1"/>
  <c r="H92" i="64" s="1"/>
  <c r="H127" i="66" s="1"/>
  <c r="H114" i="67" s="1"/>
  <c r="H105" i="68" s="1"/>
  <c r="H133" i="70" s="1"/>
  <c r="H131" i="71" s="1"/>
  <c r="H106" i="72" s="1"/>
  <c r="H51" i="50"/>
  <c r="H64" i="50" s="1"/>
  <c r="D67" i="50"/>
  <c r="D51" i="63" s="1"/>
  <c r="D57" i="63" s="1"/>
  <c r="D59" i="63" s="1"/>
  <c r="D66" i="50"/>
  <c r="M51" i="50"/>
  <c r="M64" i="50" s="1"/>
  <c r="M110" i="50"/>
  <c r="M103" i="63" s="1"/>
  <c r="M92" i="64" s="1"/>
  <c r="M127" i="66" s="1"/>
  <c r="M114" i="67" s="1"/>
  <c r="M105" i="68" s="1"/>
  <c r="M133" i="70" s="1"/>
  <c r="M131" i="71" s="1"/>
  <c r="M106" i="72" s="1"/>
  <c r="K110" i="73" s="1"/>
  <c r="J146" i="74" s="1"/>
  <c r="J154" i="74" s="1"/>
  <c r="C154" i="74" l="1"/>
  <c r="M110" i="73"/>
  <c r="M49" i="73"/>
  <c r="J54" i="73"/>
  <c r="P109" i="50"/>
  <c r="C102" i="63"/>
  <c r="O67" i="50"/>
  <c r="O51" i="63" s="1"/>
  <c r="O57" i="63" s="1"/>
  <c r="O59" i="63" s="1"/>
  <c r="O66" i="50"/>
  <c r="J66" i="50"/>
  <c r="J67" i="50"/>
  <c r="J51" i="63" s="1"/>
  <c r="J57" i="63" s="1"/>
  <c r="J59" i="63" s="1"/>
  <c r="H66" i="50"/>
  <c r="H67" i="50"/>
  <c r="H51" i="63" s="1"/>
  <c r="H57" i="63" s="1"/>
  <c r="H59" i="63" s="1"/>
  <c r="E66" i="50"/>
  <c r="E67" i="50"/>
  <c r="E51" i="63" s="1"/>
  <c r="E57" i="63" s="1"/>
  <c r="E59" i="63" s="1"/>
  <c r="K66" i="50"/>
  <c r="K67" i="50"/>
  <c r="K51" i="63" s="1"/>
  <c r="K57" i="63" s="1"/>
  <c r="K59" i="63" s="1"/>
  <c r="M66" i="50"/>
  <c r="M67" i="50"/>
  <c r="M51" i="63" s="1"/>
  <c r="M57" i="63" s="1"/>
  <c r="M59" i="63" s="1"/>
  <c r="G67" i="50"/>
  <c r="G51" i="63" s="1"/>
  <c r="G57" i="63" s="1"/>
  <c r="G59" i="63" s="1"/>
  <c r="G66" i="50"/>
  <c r="N66" i="50"/>
  <c r="N67" i="50"/>
  <c r="N51" i="63" s="1"/>
  <c r="N57" i="63" s="1"/>
  <c r="N59" i="63" s="1"/>
  <c r="P108" i="50"/>
  <c r="C51" i="50"/>
  <c r="C110" i="50"/>
  <c r="P102" i="63" l="1"/>
  <c r="C91" i="64"/>
  <c r="P51" i="50"/>
  <c r="C64" i="50"/>
  <c r="P110" i="50"/>
  <c r="C103" i="63"/>
  <c r="M54" i="73"/>
  <c r="J56" i="73"/>
  <c r="M56" i="73" s="1"/>
  <c r="J57" i="73"/>
  <c r="C67" i="50" l="1"/>
  <c r="C66" i="50"/>
  <c r="P66" i="50" s="1"/>
  <c r="P64" i="50"/>
  <c r="P103" i="63"/>
  <c r="C92" i="64"/>
  <c r="P91" i="64"/>
  <c r="C126" i="66"/>
  <c r="I47" i="74"/>
  <c r="M57" i="73"/>
  <c r="L47" i="74" l="1"/>
  <c r="I51" i="74"/>
  <c r="P126" i="66"/>
  <c r="C113" i="67"/>
  <c r="P92" i="64"/>
  <c r="C127" i="66"/>
  <c r="P67" i="50"/>
  <c r="C51" i="63"/>
  <c r="P51" i="63" l="1"/>
  <c r="C57" i="63"/>
  <c r="P113" i="67"/>
  <c r="C104" i="68"/>
  <c r="P127" i="66"/>
  <c r="C114" i="67"/>
  <c r="L51" i="74"/>
  <c r="I53" i="74"/>
  <c r="L53" i="74" s="1"/>
  <c r="P104" i="68" l="1"/>
  <c r="C132" i="70"/>
  <c r="P114" i="67"/>
  <c r="C105" i="68"/>
  <c r="C59" i="63"/>
  <c r="P59" i="63" s="1"/>
  <c r="P57" i="63"/>
  <c r="P132" i="70" l="1"/>
  <c r="C130" i="71"/>
  <c r="P105" i="68"/>
  <c r="C133" i="70"/>
  <c r="P133" i="70" l="1"/>
  <c r="C131" i="71"/>
  <c r="P130" i="71"/>
  <c r="C105" i="72"/>
  <c r="P105" i="72" s="1"/>
  <c r="P131" i="71" l="1"/>
  <c r="C106" i="72"/>
  <c r="P106" i="72" s="1"/>
</calcChain>
</file>

<file path=xl/comments1.xml><?xml version="1.0" encoding="utf-8"?>
<comments xmlns="http://schemas.openxmlformats.org/spreadsheetml/2006/main">
  <authors>
    <author>Windows User</author>
    <author>Xia, Summer (ESI)</author>
  </authors>
  <commentList>
    <comment ref="C8" authorId="0" shapeId="0">
      <text>
        <r>
          <rPr>
            <b/>
            <sz val="9"/>
            <color indexed="81"/>
            <rFont val="Tahoma"/>
            <family val="2"/>
          </rPr>
          <t>See Drop Down:</t>
        </r>
        <r>
          <rPr>
            <sz val="9"/>
            <color indexed="81"/>
            <rFont val="Tahoma"/>
            <family val="2"/>
          </rPr>
          <t xml:space="preserve">
Not Started
In Progress
Completed</t>
        </r>
      </text>
    </comment>
    <comment ref="M8" authorId="0" shapeId="0">
      <text>
        <r>
          <rPr>
            <sz val="9"/>
            <color indexed="81"/>
            <rFont val="Tahoma"/>
            <family val="2"/>
          </rPr>
          <t>If conditional = Y refer issue log for details</t>
        </r>
      </text>
    </comment>
    <comment ref="O8" authorId="0" shapeId="0">
      <text>
        <r>
          <rPr>
            <b/>
            <sz val="9"/>
            <color indexed="81"/>
            <rFont val="Tahoma"/>
            <family val="2"/>
          </rPr>
          <t>See Drop Down:</t>
        </r>
        <r>
          <rPr>
            <sz val="9"/>
            <color indexed="81"/>
            <rFont val="Tahoma"/>
            <family val="2"/>
          </rPr>
          <t xml:space="preserve">
OPEN
CLOSED</t>
        </r>
      </text>
    </comment>
    <comment ref="F39" authorId="1" shapeId="0">
      <text>
        <r>
          <rPr>
            <b/>
            <sz val="9"/>
            <color indexed="81"/>
            <rFont val="Tahoma"/>
            <family val="2"/>
          </rPr>
          <t xml:space="preserve">PH in China from Jan 24th - 30th
</t>
        </r>
        <r>
          <rPr>
            <sz val="9"/>
            <color indexed="81"/>
            <rFont val="Tahoma"/>
            <family val="2"/>
          </rPr>
          <t xml:space="preserve">
</t>
        </r>
      </text>
    </comment>
  </commentList>
</comments>
</file>

<file path=xl/comments10.xml><?xml version="1.0" encoding="utf-8"?>
<comments xmlns="http://schemas.openxmlformats.org/spreadsheetml/2006/main">
  <authors>
    <author>Xia, Summer (ESI)</author>
    <author>lglasson</author>
    <author>Windows User</author>
  </authors>
  <commentList>
    <comment ref="O11" authorId="0" shapeId="0">
      <text>
        <r>
          <rPr>
            <b/>
            <sz val="9"/>
            <color indexed="81"/>
            <rFont val="Tahoma"/>
            <family val="2"/>
          </rPr>
          <t>EE changed to Permanent from May 1st</t>
        </r>
      </text>
    </comment>
    <comment ref="W22" authorId="1" shapeId="0">
      <text>
        <r>
          <rPr>
            <b/>
            <sz val="8"/>
            <color indexed="81"/>
            <rFont val="Tahoma"/>
            <family val="2"/>
          </rPr>
          <t>lglasson:</t>
        </r>
        <r>
          <rPr>
            <sz val="8"/>
            <color indexed="81"/>
            <rFont val="Tahoma"/>
            <family val="2"/>
          </rPr>
          <t xml:space="preserve">
Compulsory Field.
EE SAP number</t>
        </r>
      </text>
    </comment>
    <comment ref="X22" authorId="1" shapeId="0">
      <text>
        <r>
          <rPr>
            <b/>
            <sz val="8"/>
            <color indexed="81"/>
            <rFont val="Tahoma"/>
            <family val="2"/>
          </rPr>
          <t>lglasson:</t>
        </r>
        <r>
          <rPr>
            <sz val="8"/>
            <color indexed="81"/>
            <rFont val="Tahoma"/>
            <family val="2"/>
          </rPr>
          <t xml:space="preserve">
Compulsory Field.
dd.mm.yyyy</t>
        </r>
      </text>
    </comment>
    <comment ref="Y22" authorId="1" shapeId="0">
      <text>
        <r>
          <rPr>
            <b/>
            <sz val="8"/>
            <color indexed="81"/>
            <rFont val="Tahoma"/>
            <family val="2"/>
          </rPr>
          <t>lglasson:</t>
        </r>
        <r>
          <rPr>
            <sz val="8"/>
            <color indexed="81"/>
            <rFont val="Tahoma"/>
            <family val="2"/>
          </rPr>
          <t xml:space="preserve">
Compulsory Field.
dd.mm.yyyy</t>
        </r>
      </text>
    </comment>
    <comment ref="Z22" authorId="1" shapeId="0">
      <text>
        <r>
          <rPr>
            <b/>
            <sz val="8"/>
            <color indexed="81"/>
            <rFont val="Tahoma"/>
            <family val="2"/>
          </rPr>
          <t>lglasson:</t>
        </r>
        <r>
          <rPr>
            <sz val="8"/>
            <color indexed="81"/>
            <rFont val="Tahoma"/>
            <family val="2"/>
          </rPr>
          <t xml:space="preserve">
Compulsory Field.
4 characters</t>
        </r>
      </text>
    </comment>
    <comment ref="AA22" authorId="1" shapeId="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22" authorId="1" shapeId="0">
      <text>
        <r>
          <rPr>
            <b/>
            <sz val="8"/>
            <color indexed="81"/>
            <rFont val="Tahoma"/>
            <family val="2"/>
          </rPr>
          <t>lglasson:</t>
        </r>
        <r>
          <rPr>
            <sz val="8"/>
            <color indexed="81"/>
            <rFont val="Tahoma"/>
            <family val="2"/>
          </rPr>
          <t xml:space="preserve">
Up to 5 characters before numeric point</t>
        </r>
      </text>
    </comment>
    <comment ref="AC22" authorId="1" shapeId="0">
      <text>
        <r>
          <rPr>
            <b/>
            <sz val="8"/>
            <color indexed="81"/>
            <rFont val="Tahoma"/>
            <family val="2"/>
          </rPr>
          <t>lglasson:</t>
        </r>
        <r>
          <rPr>
            <sz val="8"/>
            <color indexed="81"/>
            <rFont val="Tahoma"/>
            <family val="2"/>
          </rPr>
          <t xml:space="preserve">
Inputs are:
Hours
Days
Weeks
Percent
Units
Months</t>
        </r>
      </text>
    </comment>
    <comment ref="A23" authorId="1" shapeId="0">
      <text>
        <r>
          <rPr>
            <b/>
            <sz val="8"/>
            <color indexed="81"/>
            <rFont val="Tahoma"/>
            <family val="2"/>
          </rPr>
          <t>lglasson:</t>
        </r>
        <r>
          <rPr>
            <sz val="8"/>
            <color indexed="81"/>
            <rFont val="Tahoma"/>
            <family val="2"/>
          </rPr>
          <t xml:space="preserve">
As per blueprint</t>
        </r>
      </text>
    </comment>
    <comment ref="H31" authorId="0" shapeId="0">
      <text>
        <r>
          <rPr>
            <b/>
            <sz val="9"/>
            <color indexed="81"/>
            <rFont val="Tahoma"/>
            <family val="2"/>
          </rPr>
          <t>One of DP becomes 18 yr old in May</t>
        </r>
        <r>
          <rPr>
            <sz val="9"/>
            <color indexed="81"/>
            <rFont val="Tahoma"/>
            <family val="2"/>
          </rPr>
          <t xml:space="preserve">
</t>
        </r>
      </text>
    </comment>
    <comment ref="A36" authorId="1" shapeId="0">
      <text>
        <r>
          <rPr>
            <b/>
            <sz val="8"/>
            <color indexed="81"/>
            <rFont val="Tahoma"/>
            <family val="2"/>
          </rPr>
          <t>lglasson:</t>
        </r>
        <r>
          <rPr>
            <sz val="8"/>
            <color indexed="81"/>
            <rFont val="Tahoma"/>
            <family val="2"/>
          </rPr>
          <t xml:space="preserve">
As per blueprint</t>
        </r>
      </text>
    </comment>
    <comment ref="A37" authorId="2" shapeId="0">
      <text>
        <r>
          <rPr>
            <b/>
            <sz val="9"/>
            <color indexed="81"/>
            <rFont val="Tahoma"/>
            <family val="2"/>
          </rPr>
          <t>Windows User:</t>
        </r>
        <r>
          <rPr>
            <sz val="9"/>
            <color indexed="81"/>
            <rFont val="Tahoma"/>
            <family val="2"/>
          </rPr>
          <t xml:space="preserve">
capping amount = 23,000,000</t>
        </r>
      </text>
    </comment>
    <comment ref="H44" authorId="0" shapeId="0">
      <text>
        <r>
          <rPr>
            <b/>
            <sz val="9"/>
            <color indexed="81"/>
            <rFont val="Tahoma"/>
            <family val="2"/>
          </rPr>
          <t>One of DP becomes 18 yr old in May</t>
        </r>
        <r>
          <rPr>
            <sz val="9"/>
            <color indexed="81"/>
            <rFont val="Tahoma"/>
            <family val="2"/>
          </rPr>
          <t xml:space="preserve">
</t>
        </r>
      </text>
    </comment>
    <comment ref="A51" authorId="2" shapeId="0">
      <text>
        <r>
          <rPr>
            <b/>
            <sz val="9"/>
            <color indexed="81"/>
            <rFont val="Tahoma"/>
            <family val="2"/>
          </rPr>
          <t>Windows User:</t>
        </r>
        <r>
          <rPr>
            <sz val="9"/>
            <color indexed="81"/>
            <rFont val="Tahoma"/>
            <family val="2"/>
          </rPr>
          <t xml:space="preserve">
capping amount = 23,000,000
</t>
        </r>
      </text>
    </comment>
    <comment ref="W54" authorId="1" shapeId="0">
      <text>
        <r>
          <rPr>
            <b/>
            <sz val="8"/>
            <color indexed="81"/>
            <rFont val="Tahoma"/>
            <family val="2"/>
          </rPr>
          <t>lglasson:</t>
        </r>
        <r>
          <rPr>
            <sz val="8"/>
            <color indexed="81"/>
            <rFont val="Tahoma"/>
            <family val="2"/>
          </rPr>
          <t xml:space="preserve">
Compulsory Field.
EE SAP number</t>
        </r>
      </text>
    </comment>
    <comment ref="X54" authorId="1" shapeId="0">
      <text>
        <r>
          <rPr>
            <b/>
            <sz val="8"/>
            <color indexed="81"/>
            <rFont val="Tahoma"/>
            <family val="2"/>
          </rPr>
          <t>lglasson:</t>
        </r>
        <r>
          <rPr>
            <sz val="8"/>
            <color indexed="81"/>
            <rFont val="Tahoma"/>
            <family val="2"/>
          </rPr>
          <t xml:space="preserve">
Compulsory Field.
dd.mm.yyyy</t>
        </r>
      </text>
    </comment>
    <comment ref="Y54" authorId="1" shapeId="0">
      <text>
        <r>
          <rPr>
            <b/>
            <sz val="8"/>
            <color indexed="81"/>
            <rFont val="Tahoma"/>
            <family val="2"/>
          </rPr>
          <t>lglasson:</t>
        </r>
        <r>
          <rPr>
            <sz val="8"/>
            <color indexed="81"/>
            <rFont val="Tahoma"/>
            <family val="2"/>
          </rPr>
          <t xml:space="preserve">
Compulsory Field.
dd.mm.yyyy</t>
        </r>
      </text>
    </comment>
    <comment ref="Z54" authorId="1" shapeId="0">
      <text>
        <r>
          <rPr>
            <b/>
            <sz val="8"/>
            <color indexed="81"/>
            <rFont val="Tahoma"/>
            <family val="2"/>
          </rPr>
          <t>lglasson:</t>
        </r>
        <r>
          <rPr>
            <sz val="8"/>
            <color indexed="81"/>
            <rFont val="Tahoma"/>
            <family val="2"/>
          </rPr>
          <t xml:space="preserve">
Compulsory Field.
4 characters</t>
        </r>
      </text>
    </comment>
    <comment ref="AA54" authorId="1" shapeId="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54" authorId="1" shapeId="0">
      <text>
        <r>
          <rPr>
            <b/>
            <sz val="8"/>
            <color indexed="81"/>
            <rFont val="Tahoma"/>
            <family val="2"/>
          </rPr>
          <t>lglasson:</t>
        </r>
        <r>
          <rPr>
            <sz val="8"/>
            <color indexed="81"/>
            <rFont val="Tahoma"/>
            <family val="2"/>
          </rPr>
          <t xml:space="preserve">
Up to 5 characters before numeric point</t>
        </r>
      </text>
    </comment>
    <comment ref="AC54" authorId="1" shapeId="0">
      <text>
        <r>
          <rPr>
            <b/>
            <sz val="8"/>
            <color indexed="81"/>
            <rFont val="Tahoma"/>
            <family val="2"/>
          </rPr>
          <t>lglasson:</t>
        </r>
        <r>
          <rPr>
            <sz val="8"/>
            <color indexed="81"/>
            <rFont val="Tahoma"/>
            <family val="2"/>
          </rPr>
          <t xml:space="preserve">
Inputs are:
Hours
Days
Weeks
Percent
Units
Months</t>
        </r>
      </text>
    </comment>
  </commentList>
</comments>
</file>

<file path=xl/comments11.xml><?xml version="1.0" encoding="utf-8"?>
<comments xmlns="http://schemas.openxmlformats.org/spreadsheetml/2006/main">
  <authors>
    <author>Xia, Summer (ESI)</author>
    <author>lglasson</author>
    <author>Windows User</author>
  </authors>
  <commentList>
    <comment ref="N7" authorId="0" shapeId="0">
      <text>
        <r>
          <rPr>
            <b/>
            <sz val="9"/>
            <color indexed="81"/>
            <rFont val="Tahoma"/>
            <family val="2"/>
          </rPr>
          <t>Retro Salary Increase to be tested in Jul'19</t>
        </r>
        <r>
          <rPr>
            <sz val="9"/>
            <color indexed="81"/>
            <rFont val="Tahoma"/>
            <family val="2"/>
          </rPr>
          <t xml:space="preserve">
</t>
        </r>
      </text>
    </comment>
    <comment ref="E13" authorId="0" shapeId="0">
      <text>
        <r>
          <rPr>
            <b/>
            <sz val="9"/>
            <color indexed="81"/>
            <rFont val="Tahoma"/>
            <family val="2"/>
          </rPr>
          <t>Transferred from EE Grp 1 to 3</t>
        </r>
        <r>
          <rPr>
            <sz val="9"/>
            <color indexed="81"/>
            <rFont val="Tahoma"/>
            <family val="2"/>
          </rPr>
          <t xml:space="preserve">
</t>
        </r>
      </text>
    </comment>
    <comment ref="W22" authorId="1" shapeId="0">
      <text>
        <r>
          <rPr>
            <b/>
            <sz val="8"/>
            <color indexed="81"/>
            <rFont val="Tahoma"/>
            <family val="2"/>
          </rPr>
          <t>lglasson:</t>
        </r>
        <r>
          <rPr>
            <sz val="8"/>
            <color indexed="81"/>
            <rFont val="Tahoma"/>
            <family val="2"/>
          </rPr>
          <t xml:space="preserve">
Compulsory Field.
EE SAP number</t>
        </r>
      </text>
    </comment>
    <comment ref="X22" authorId="1" shapeId="0">
      <text>
        <r>
          <rPr>
            <b/>
            <sz val="8"/>
            <color indexed="81"/>
            <rFont val="Tahoma"/>
            <family val="2"/>
          </rPr>
          <t>lglasson:</t>
        </r>
        <r>
          <rPr>
            <sz val="8"/>
            <color indexed="81"/>
            <rFont val="Tahoma"/>
            <family val="2"/>
          </rPr>
          <t xml:space="preserve">
Compulsory Field.
dd.mm.yyyy</t>
        </r>
      </text>
    </comment>
    <comment ref="Y22" authorId="1" shapeId="0">
      <text>
        <r>
          <rPr>
            <b/>
            <sz val="8"/>
            <color indexed="81"/>
            <rFont val="Tahoma"/>
            <family val="2"/>
          </rPr>
          <t>lglasson:</t>
        </r>
        <r>
          <rPr>
            <sz val="8"/>
            <color indexed="81"/>
            <rFont val="Tahoma"/>
            <family val="2"/>
          </rPr>
          <t xml:space="preserve">
Compulsory Field.
dd.mm.yyyy</t>
        </r>
      </text>
    </comment>
    <comment ref="Z22" authorId="1" shapeId="0">
      <text>
        <r>
          <rPr>
            <b/>
            <sz val="8"/>
            <color indexed="81"/>
            <rFont val="Tahoma"/>
            <family val="2"/>
          </rPr>
          <t>lglasson:</t>
        </r>
        <r>
          <rPr>
            <sz val="8"/>
            <color indexed="81"/>
            <rFont val="Tahoma"/>
            <family val="2"/>
          </rPr>
          <t xml:space="preserve">
Compulsory Field.
4 characters</t>
        </r>
      </text>
    </comment>
    <comment ref="AA22" authorId="1" shapeId="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22" authorId="1" shapeId="0">
      <text>
        <r>
          <rPr>
            <b/>
            <sz val="8"/>
            <color indexed="81"/>
            <rFont val="Tahoma"/>
            <family val="2"/>
          </rPr>
          <t>lglasson:</t>
        </r>
        <r>
          <rPr>
            <sz val="8"/>
            <color indexed="81"/>
            <rFont val="Tahoma"/>
            <family val="2"/>
          </rPr>
          <t xml:space="preserve">
Up to 5 characters before numeric point</t>
        </r>
      </text>
    </comment>
    <comment ref="AC22" authorId="1" shapeId="0">
      <text>
        <r>
          <rPr>
            <b/>
            <sz val="8"/>
            <color indexed="81"/>
            <rFont val="Tahoma"/>
            <family val="2"/>
          </rPr>
          <t>lglasson:</t>
        </r>
        <r>
          <rPr>
            <sz val="8"/>
            <color indexed="81"/>
            <rFont val="Tahoma"/>
            <family val="2"/>
          </rPr>
          <t xml:space="preserve">
Inputs are:
Hours
Days
Weeks
Percent
Units
Months</t>
        </r>
      </text>
    </comment>
    <comment ref="D23" authorId="0" shapeId="0">
      <text>
        <r>
          <rPr>
            <b/>
            <sz val="9"/>
            <color indexed="81"/>
            <rFont val="Tahoma"/>
            <family val="2"/>
          </rPr>
          <t>Dependent number changed from 1 to 0 from Jan'19</t>
        </r>
      </text>
    </comment>
    <comment ref="A27" authorId="1" shapeId="0">
      <text>
        <r>
          <rPr>
            <b/>
            <sz val="8"/>
            <color indexed="81"/>
            <rFont val="Tahoma"/>
            <family val="2"/>
          </rPr>
          <t>lglasson:</t>
        </r>
        <r>
          <rPr>
            <sz val="8"/>
            <color indexed="81"/>
            <rFont val="Tahoma"/>
            <family val="2"/>
          </rPr>
          <t xml:space="preserve">
As per blueprint</t>
        </r>
      </text>
    </comment>
    <comment ref="W43" authorId="1" shapeId="0">
      <text>
        <r>
          <rPr>
            <b/>
            <sz val="8"/>
            <color indexed="81"/>
            <rFont val="Tahoma"/>
            <family val="2"/>
          </rPr>
          <t>lglasson:</t>
        </r>
        <r>
          <rPr>
            <sz val="8"/>
            <color indexed="81"/>
            <rFont val="Tahoma"/>
            <family val="2"/>
          </rPr>
          <t xml:space="preserve">
Compulsory Field.
EE SAP number</t>
        </r>
      </text>
    </comment>
    <comment ref="X43" authorId="1" shapeId="0">
      <text>
        <r>
          <rPr>
            <b/>
            <sz val="8"/>
            <color indexed="81"/>
            <rFont val="Tahoma"/>
            <family val="2"/>
          </rPr>
          <t>lglasson:</t>
        </r>
        <r>
          <rPr>
            <sz val="8"/>
            <color indexed="81"/>
            <rFont val="Tahoma"/>
            <family val="2"/>
          </rPr>
          <t xml:space="preserve">
Compulsory Field.
dd.mm.yyyy</t>
        </r>
      </text>
    </comment>
    <comment ref="Y43" authorId="1" shapeId="0">
      <text>
        <r>
          <rPr>
            <b/>
            <sz val="8"/>
            <color indexed="81"/>
            <rFont val="Tahoma"/>
            <family val="2"/>
          </rPr>
          <t>lglasson:</t>
        </r>
        <r>
          <rPr>
            <sz val="8"/>
            <color indexed="81"/>
            <rFont val="Tahoma"/>
            <family val="2"/>
          </rPr>
          <t xml:space="preserve">
Compulsory Field.
dd.mm.yyyy</t>
        </r>
      </text>
    </comment>
    <comment ref="Z43" authorId="1" shapeId="0">
      <text>
        <r>
          <rPr>
            <b/>
            <sz val="8"/>
            <color indexed="81"/>
            <rFont val="Tahoma"/>
            <family val="2"/>
          </rPr>
          <t>lglasson:</t>
        </r>
        <r>
          <rPr>
            <sz val="8"/>
            <color indexed="81"/>
            <rFont val="Tahoma"/>
            <family val="2"/>
          </rPr>
          <t xml:space="preserve">
Compulsory Field.
4 characters</t>
        </r>
      </text>
    </comment>
    <comment ref="AA43" authorId="1" shapeId="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43" authorId="1" shapeId="0">
      <text>
        <r>
          <rPr>
            <b/>
            <sz val="8"/>
            <color indexed="81"/>
            <rFont val="Tahoma"/>
            <family val="2"/>
          </rPr>
          <t>lglasson:</t>
        </r>
        <r>
          <rPr>
            <sz val="8"/>
            <color indexed="81"/>
            <rFont val="Tahoma"/>
            <family val="2"/>
          </rPr>
          <t xml:space="preserve">
Up to 5 characters before numeric point</t>
        </r>
      </text>
    </comment>
    <comment ref="AC43" authorId="1" shapeId="0">
      <text>
        <r>
          <rPr>
            <b/>
            <sz val="8"/>
            <color indexed="81"/>
            <rFont val="Tahoma"/>
            <family val="2"/>
          </rPr>
          <t>lglasson:</t>
        </r>
        <r>
          <rPr>
            <sz val="8"/>
            <color indexed="81"/>
            <rFont val="Tahoma"/>
            <family val="2"/>
          </rPr>
          <t xml:space="preserve">
Inputs are:
Hours
Days
Weeks
Percent
Units
Months</t>
        </r>
      </text>
    </comment>
    <comment ref="A48" authorId="1" shapeId="0">
      <text>
        <r>
          <rPr>
            <b/>
            <sz val="8"/>
            <color indexed="81"/>
            <rFont val="Tahoma"/>
            <family val="2"/>
          </rPr>
          <t>lglasson:</t>
        </r>
        <r>
          <rPr>
            <sz val="8"/>
            <color indexed="81"/>
            <rFont val="Tahoma"/>
            <family val="2"/>
          </rPr>
          <t xml:space="preserve">
As per blueprint</t>
        </r>
      </text>
    </comment>
    <comment ref="A49" authorId="2" shapeId="0">
      <text>
        <r>
          <rPr>
            <b/>
            <sz val="9"/>
            <color indexed="81"/>
            <rFont val="Tahoma"/>
            <family val="2"/>
          </rPr>
          <t>Windows User:</t>
        </r>
        <r>
          <rPr>
            <sz val="9"/>
            <color indexed="81"/>
            <rFont val="Tahoma"/>
            <family val="2"/>
          </rPr>
          <t xml:space="preserve">
capping amount = 23,000,000</t>
        </r>
      </text>
    </comment>
    <comment ref="A64" authorId="2" shapeId="0">
      <text>
        <r>
          <rPr>
            <b/>
            <sz val="9"/>
            <color indexed="81"/>
            <rFont val="Tahoma"/>
            <family val="2"/>
          </rPr>
          <t>Windows User:</t>
        </r>
        <r>
          <rPr>
            <sz val="9"/>
            <color indexed="81"/>
            <rFont val="Tahoma"/>
            <family val="2"/>
          </rPr>
          <t xml:space="preserve">
capping amount = 23,000,000
</t>
        </r>
      </text>
    </comment>
    <comment ref="E83" authorId="0" shapeId="0">
      <text>
        <r>
          <rPr>
            <b/>
            <sz val="9"/>
            <color indexed="81"/>
            <rFont val="Tahoma"/>
            <family val="2"/>
          </rPr>
          <t>Daily Maxium OT hours capped at 4.</t>
        </r>
        <r>
          <rPr>
            <sz val="9"/>
            <color indexed="81"/>
            <rFont val="Tahoma"/>
            <family val="2"/>
          </rPr>
          <t xml:space="preserve">
</t>
        </r>
      </text>
    </comment>
    <comment ref="M83" authorId="0" shapeId="0">
      <text>
        <r>
          <rPr>
            <b/>
            <sz val="9"/>
            <color indexed="81"/>
            <rFont val="Tahoma"/>
            <family val="2"/>
          </rPr>
          <t>Weekend Maxium OT hours capped at 12.</t>
        </r>
        <r>
          <rPr>
            <sz val="9"/>
            <color indexed="81"/>
            <rFont val="Tahoma"/>
            <family val="2"/>
          </rPr>
          <t xml:space="preserve">
</t>
        </r>
        <r>
          <rPr>
            <b/>
            <sz val="9"/>
            <color indexed="81"/>
            <rFont val="Tahoma"/>
            <family val="2"/>
          </rPr>
          <t>Monthly Maxium OT hours capped at 30.</t>
        </r>
      </text>
    </comment>
    <comment ref="B93" authorId="0" shapeId="0">
      <text>
        <r>
          <rPr>
            <b/>
            <sz val="9"/>
            <color indexed="81"/>
            <rFont val="Tahoma"/>
            <family val="2"/>
          </rPr>
          <t>TOIL + OT capped at 4 hours</t>
        </r>
        <r>
          <rPr>
            <sz val="9"/>
            <color indexed="81"/>
            <rFont val="Tahoma"/>
            <family val="2"/>
          </rPr>
          <t xml:space="preserve">
</t>
        </r>
      </text>
    </comment>
    <comment ref="D131" authorId="0" shapeId="0">
      <text>
        <r>
          <rPr>
            <b/>
            <sz val="9"/>
            <color indexed="81"/>
            <rFont val="Tahoma"/>
            <family val="2"/>
          </rPr>
          <t>AL prorated based on EE's termination date</t>
        </r>
        <r>
          <rPr>
            <sz val="9"/>
            <color indexed="81"/>
            <rFont val="Tahoma"/>
            <family val="2"/>
          </rPr>
          <t xml:space="preserve">
</t>
        </r>
      </text>
    </comment>
    <comment ref="D132" authorId="0" shapeId="0">
      <text>
        <r>
          <rPr>
            <b/>
            <sz val="9"/>
            <color indexed="81"/>
            <rFont val="Tahoma"/>
            <family val="2"/>
          </rPr>
          <t>SL quota prorated based on EE's termination date</t>
        </r>
        <r>
          <rPr>
            <sz val="9"/>
            <color indexed="81"/>
            <rFont val="Tahoma"/>
            <family val="2"/>
          </rPr>
          <t xml:space="preserve">
</t>
        </r>
      </text>
    </comment>
  </commentList>
</comments>
</file>

<file path=xl/comments12.xml><?xml version="1.0" encoding="utf-8"?>
<comments xmlns="http://schemas.openxmlformats.org/spreadsheetml/2006/main">
  <authors>
    <author>Xia, Summer (ESI)</author>
    <author>lglasson</author>
    <author>Windows User</author>
  </authors>
  <commentList>
    <comment ref="C7" authorId="0" shapeId="0">
      <text>
        <r>
          <rPr>
            <b/>
            <sz val="9"/>
            <color indexed="81"/>
            <rFont val="Tahoma"/>
            <family val="2"/>
          </rPr>
          <t>EE's IT0007 WSR change to P5320000 from Jan'19</t>
        </r>
        <r>
          <rPr>
            <sz val="9"/>
            <color indexed="81"/>
            <rFont val="Tahoma"/>
            <family val="2"/>
          </rPr>
          <t xml:space="preserve">
</t>
        </r>
      </text>
    </comment>
    <comment ref="N7" authorId="0" shapeId="0">
      <text>
        <r>
          <rPr>
            <b/>
            <sz val="9"/>
            <color indexed="81"/>
            <rFont val="Tahoma"/>
            <family val="2"/>
          </rPr>
          <t>Retro Salary Increase to be tested in Jul'19</t>
        </r>
        <r>
          <rPr>
            <sz val="9"/>
            <color indexed="81"/>
            <rFont val="Tahoma"/>
            <family val="2"/>
          </rPr>
          <t xml:space="preserve">
</t>
        </r>
      </text>
    </comment>
    <comment ref="W22" authorId="1" shapeId="0">
      <text>
        <r>
          <rPr>
            <b/>
            <sz val="8"/>
            <color indexed="81"/>
            <rFont val="Tahoma"/>
            <family val="2"/>
          </rPr>
          <t>lglasson:</t>
        </r>
        <r>
          <rPr>
            <sz val="8"/>
            <color indexed="81"/>
            <rFont val="Tahoma"/>
            <family val="2"/>
          </rPr>
          <t xml:space="preserve">
Compulsory Field.
EE SAP number</t>
        </r>
      </text>
    </comment>
    <comment ref="X22" authorId="1" shapeId="0">
      <text>
        <r>
          <rPr>
            <b/>
            <sz val="8"/>
            <color indexed="81"/>
            <rFont val="Tahoma"/>
            <family val="2"/>
          </rPr>
          <t>lglasson:</t>
        </r>
        <r>
          <rPr>
            <sz val="8"/>
            <color indexed="81"/>
            <rFont val="Tahoma"/>
            <family val="2"/>
          </rPr>
          <t xml:space="preserve">
Compulsory Field.
dd.mm.yyyy</t>
        </r>
      </text>
    </comment>
    <comment ref="Y22" authorId="1" shapeId="0">
      <text>
        <r>
          <rPr>
            <b/>
            <sz val="8"/>
            <color indexed="81"/>
            <rFont val="Tahoma"/>
            <family val="2"/>
          </rPr>
          <t>lglasson:</t>
        </r>
        <r>
          <rPr>
            <sz val="8"/>
            <color indexed="81"/>
            <rFont val="Tahoma"/>
            <family val="2"/>
          </rPr>
          <t xml:space="preserve">
Compulsory Field.
dd.mm.yyyy</t>
        </r>
      </text>
    </comment>
    <comment ref="Z22" authorId="1" shapeId="0">
      <text>
        <r>
          <rPr>
            <b/>
            <sz val="8"/>
            <color indexed="81"/>
            <rFont val="Tahoma"/>
            <family val="2"/>
          </rPr>
          <t>lglasson:</t>
        </r>
        <r>
          <rPr>
            <sz val="8"/>
            <color indexed="81"/>
            <rFont val="Tahoma"/>
            <family val="2"/>
          </rPr>
          <t xml:space="preserve">
Compulsory Field.
4 characters</t>
        </r>
      </text>
    </comment>
    <comment ref="AA22" authorId="1" shapeId="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22" authorId="1" shapeId="0">
      <text>
        <r>
          <rPr>
            <b/>
            <sz val="8"/>
            <color indexed="81"/>
            <rFont val="Tahoma"/>
            <family val="2"/>
          </rPr>
          <t>lglasson:</t>
        </r>
        <r>
          <rPr>
            <sz val="8"/>
            <color indexed="81"/>
            <rFont val="Tahoma"/>
            <family val="2"/>
          </rPr>
          <t xml:space="preserve">
Up to 5 characters before numeric point</t>
        </r>
      </text>
    </comment>
    <comment ref="AC22" authorId="1" shapeId="0">
      <text>
        <r>
          <rPr>
            <b/>
            <sz val="8"/>
            <color indexed="81"/>
            <rFont val="Tahoma"/>
            <family val="2"/>
          </rPr>
          <t>lglasson:</t>
        </r>
        <r>
          <rPr>
            <sz val="8"/>
            <color indexed="81"/>
            <rFont val="Tahoma"/>
            <family val="2"/>
          </rPr>
          <t xml:space="preserve">
Inputs are:
Hours
Days
Weeks
Percent
Units
Months</t>
        </r>
      </text>
    </comment>
    <comment ref="A26" authorId="1" shapeId="0">
      <text>
        <r>
          <rPr>
            <b/>
            <sz val="8"/>
            <color indexed="81"/>
            <rFont val="Tahoma"/>
            <family val="2"/>
          </rPr>
          <t>lglasson:</t>
        </r>
        <r>
          <rPr>
            <sz val="8"/>
            <color indexed="81"/>
            <rFont val="Tahoma"/>
            <family val="2"/>
          </rPr>
          <t xml:space="preserve">
As per blueprint</t>
        </r>
      </text>
    </comment>
    <comment ref="E35" authorId="0" shapeId="0">
      <text>
        <r>
          <rPr>
            <b/>
            <sz val="9"/>
            <color indexed="81"/>
            <rFont val="Tahoma"/>
            <family val="2"/>
          </rPr>
          <t>New Rate /001 from Jun 17th</t>
        </r>
        <r>
          <rPr>
            <sz val="9"/>
            <color indexed="81"/>
            <rFont val="Tahoma"/>
            <family val="2"/>
          </rPr>
          <t xml:space="preserve">
</t>
        </r>
      </text>
    </comment>
    <comment ref="E37" authorId="0" shapeId="0">
      <text>
        <r>
          <rPr>
            <b/>
            <sz val="9"/>
            <color indexed="81"/>
            <rFont val="Tahoma"/>
            <family val="2"/>
          </rPr>
          <t>Old Rate /001 before Jun 17th</t>
        </r>
        <r>
          <rPr>
            <sz val="9"/>
            <color indexed="81"/>
            <rFont val="Tahoma"/>
            <family val="2"/>
          </rPr>
          <t xml:space="preserve">
</t>
        </r>
      </text>
    </comment>
    <comment ref="W44" authorId="1" shapeId="0">
      <text>
        <r>
          <rPr>
            <b/>
            <sz val="8"/>
            <color indexed="81"/>
            <rFont val="Tahoma"/>
            <family val="2"/>
          </rPr>
          <t>lglasson:</t>
        </r>
        <r>
          <rPr>
            <sz val="8"/>
            <color indexed="81"/>
            <rFont val="Tahoma"/>
            <family val="2"/>
          </rPr>
          <t xml:space="preserve">
Compulsory Field.
EE SAP number</t>
        </r>
      </text>
    </comment>
    <comment ref="X44" authorId="1" shapeId="0">
      <text>
        <r>
          <rPr>
            <b/>
            <sz val="8"/>
            <color indexed="81"/>
            <rFont val="Tahoma"/>
            <family val="2"/>
          </rPr>
          <t>lglasson:</t>
        </r>
        <r>
          <rPr>
            <sz val="8"/>
            <color indexed="81"/>
            <rFont val="Tahoma"/>
            <family val="2"/>
          </rPr>
          <t xml:space="preserve">
Compulsory Field.
dd.mm.yyyy</t>
        </r>
      </text>
    </comment>
    <comment ref="Y44" authorId="1" shapeId="0">
      <text>
        <r>
          <rPr>
            <b/>
            <sz val="8"/>
            <color indexed="81"/>
            <rFont val="Tahoma"/>
            <family val="2"/>
          </rPr>
          <t>lglasson:</t>
        </r>
        <r>
          <rPr>
            <sz val="8"/>
            <color indexed="81"/>
            <rFont val="Tahoma"/>
            <family val="2"/>
          </rPr>
          <t xml:space="preserve">
Compulsory Field.
dd.mm.yyyy</t>
        </r>
      </text>
    </comment>
    <comment ref="Z44" authorId="1" shapeId="0">
      <text>
        <r>
          <rPr>
            <b/>
            <sz val="8"/>
            <color indexed="81"/>
            <rFont val="Tahoma"/>
            <family val="2"/>
          </rPr>
          <t>lglasson:</t>
        </r>
        <r>
          <rPr>
            <sz val="8"/>
            <color indexed="81"/>
            <rFont val="Tahoma"/>
            <family val="2"/>
          </rPr>
          <t xml:space="preserve">
Compulsory Field.
4 characters</t>
        </r>
      </text>
    </comment>
    <comment ref="AA44" authorId="1" shapeId="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44" authorId="1" shapeId="0">
      <text>
        <r>
          <rPr>
            <b/>
            <sz val="8"/>
            <color indexed="81"/>
            <rFont val="Tahoma"/>
            <family val="2"/>
          </rPr>
          <t>lglasson:</t>
        </r>
        <r>
          <rPr>
            <sz val="8"/>
            <color indexed="81"/>
            <rFont val="Tahoma"/>
            <family val="2"/>
          </rPr>
          <t xml:space="preserve">
Up to 5 characters before numeric point</t>
        </r>
      </text>
    </comment>
    <comment ref="AC44" authorId="1" shapeId="0">
      <text>
        <r>
          <rPr>
            <b/>
            <sz val="8"/>
            <color indexed="81"/>
            <rFont val="Tahoma"/>
            <family val="2"/>
          </rPr>
          <t>lglasson:</t>
        </r>
        <r>
          <rPr>
            <sz val="8"/>
            <color indexed="81"/>
            <rFont val="Tahoma"/>
            <family val="2"/>
          </rPr>
          <t xml:space="preserve">
Inputs are:
Hours
Days
Weeks
Percent
Units
Months</t>
        </r>
      </text>
    </comment>
    <comment ref="A47" authorId="1" shapeId="0">
      <text>
        <r>
          <rPr>
            <b/>
            <sz val="8"/>
            <color indexed="81"/>
            <rFont val="Tahoma"/>
            <family val="2"/>
          </rPr>
          <t>lglasson:</t>
        </r>
        <r>
          <rPr>
            <sz val="8"/>
            <color indexed="81"/>
            <rFont val="Tahoma"/>
            <family val="2"/>
          </rPr>
          <t xml:space="preserve">
As per blueprint</t>
        </r>
      </text>
    </comment>
    <comment ref="A48" authorId="2" shapeId="0">
      <text>
        <r>
          <rPr>
            <b/>
            <sz val="9"/>
            <color indexed="81"/>
            <rFont val="Tahoma"/>
            <family val="2"/>
          </rPr>
          <t>Windows User:</t>
        </r>
        <r>
          <rPr>
            <sz val="9"/>
            <color indexed="81"/>
            <rFont val="Tahoma"/>
            <family val="2"/>
          </rPr>
          <t xml:space="preserve">
capping amount = 23,000,000</t>
        </r>
      </text>
    </comment>
    <comment ref="A62" authorId="2" shapeId="0">
      <text>
        <r>
          <rPr>
            <b/>
            <sz val="9"/>
            <color indexed="81"/>
            <rFont val="Tahoma"/>
            <family val="2"/>
          </rPr>
          <t>Windows User:</t>
        </r>
        <r>
          <rPr>
            <sz val="9"/>
            <color indexed="81"/>
            <rFont val="Tahoma"/>
            <family val="2"/>
          </rPr>
          <t xml:space="preserve">
capping amount = 23,000,000
</t>
        </r>
      </text>
    </comment>
    <comment ref="C118" authorId="0" shapeId="0">
      <text>
        <r>
          <rPr>
            <b/>
            <sz val="9"/>
            <color indexed="81"/>
            <rFont val="Tahoma"/>
            <family val="2"/>
          </rPr>
          <t>AL Upfront Quota Recalculated Based on New WSR</t>
        </r>
      </text>
    </comment>
    <comment ref="C119" authorId="0" shapeId="0">
      <text>
        <r>
          <rPr>
            <b/>
            <sz val="9"/>
            <color indexed="81"/>
            <rFont val="Tahoma"/>
            <family val="2"/>
          </rPr>
          <t>SL Upfront Quota Recalculated Based on New WSR</t>
        </r>
        <r>
          <rPr>
            <sz val="9"/>
            <color indexed="81"/>
            <rFont val="Tahoma"/>
            <family val="2"/>
          </rPr>
          <t xml:space="preserve">
</t>
        </r>
      </text>
    </comment>
    <comment ref="C125" authorId="0" shapeId="0">
      <text>
        <r>
          <rPr>
            <b/>
            <sz val="9"/>
            <color indexed="81"/>
            <rFont val="Tahoma"/>
            <family val="2"/>
          </rPr>
          <t>AL Accr. Recalculated Based on New WSR</t>
        </r>
        <r>
          <rPr>
            <sz val="9"/>
            <color indexed="81"/>
            <rFont val="Tahoma"/>
            <family val="2"/>
          </rPr>
          <t xml:space="preserve">
</t>
        </r>
      </text>
    </comment>
    <comment ref="C126" authorId="0" shapeId="0">
      <text>
        <r>
          <rPr>
            <b/>
            <sz val="9"/>
            <color indexed="81"/>
            <rFont val="Tahoma"/>
            <family val="2"/>
          </rPr>
          <t>SL Accr. Recalculated Based on New WSR</t>
        </r>
        <r>
          <rPr>
            <sz val="9"/>
            <color indexed="81"/>
            <rFont val="Tahoma"/>
            <family val="2"/>
          </rPr>
          <t xml:space="preserve">
</t>
        </r>
      </text>
    </comment>
  </commentList>
</comments>
</file>

<file path=xl/comments13.xml><?xml version="1.0" encoding="utf-8"?>
<comments xmlns="http://schemas.openxmlformats.org/spreadsheetml/2006/main">
  <authors>
    <author>Xia, Summer (ESI)</author>
    <author>lglasson</author>
    <author>Windows User</author>
  </authors>
  <commentList>
    <comment ref="O11" authorId="0" shapeId="0">
      <text>
        <r>
          <rPr>
            <b/>
            <sz val="9"/>
            <color indexed="81"/>
            <rFont val="Tahoma"/>
            <family val="2"/>
          </rPr>
          <t>EE changed back to C from Aug 1st</t>
        </r>
        <r>
          <rPr>
            <sz val="9"/>
            <color indexed="81"/>
            <rFont val="Tahoma"/>
            <family val="2"/>
          </rPr>
          <t xml:space="preserve">
</t>
        </r>
      </text>
    </comment>
    <comment ref="A23" authorId="1" shapeId="0">
      <text>
        <r>
          <rPr>
            <b/>
            <sz val="8"/>
            <color indexed="81"/>
            <rFont val="Tahoma"/>
            <family val="2"/>
          </rPr>
          <t>lglasson:</t>
        </r>
        <r>
          <rPr>
            <sz val="8"/>
            <color indexed="81"/>
            <rFont val="Tahoma"/>
            <family val="2"/>
          </rPr>
          <t xml:space="preserve">
As per blueprint</t>
        </r>
      </text>
    </comment>
    <comment ref="W24" authorId="1" shapeId="0">
      <text>
        <r>
          <rPr>
            <b/>
            <sz val="8"/>
            <color indexed="81"/>
            <rFont val="Tahoma"/>
            <family val="2"/>
          </rPr>
          <t>lglasson:</t>
        </r>
        <r>
          <rPr>
            <sz val="8"/>
            <color indexed="81"/>
            <rFont val="Tahoma"/>
            <family val="2"/>
          </rPr>
          <t xml:space="preserve">
Compulsory Field.
EE SAP number</t>
        </r>
      </text>
    </comment>
    <comment ref="X24" authorId="1" shapeId="0">
      <text>
        <r>
          <rPr>
            <b/>
            <sz val="8"/>
            <color indexed="81"/>
            <rFont val="Tahoma"/>
            <family val="2"/>
          </rPr>
          <t>lglasson:</t>
        </r>
        <r>
          <rPr>
            <sz val="8"/>
            <color indexed="81"/>
            <rFont val="Tahoma"/>
            <family val="2"/>
          </rPr>
          <t xml:space="preserve">
Compulsory Field.
dd.mm.yyyy</t>
        </r>
      </text>
    </comment>
    <comment ref="Y24" authorId="1" shapeId="0">
      <text>
        <r>
          <rPr>
            <b/>
            <sz val="8"/>
            <color indexed="81"/>
            <rFont val="Tahoma"/>
            <family val="2"/>
          </rPr>
          <t>lglasson:</t>
        </r>
        <r>
          <rPr>
            <sz val="8"/>
            <color indexed="81"/>
            <rFont val="Tahoma"/>
            <family val="2"/>
          </rPr>
          <t xml:space="preserve">
Compulsory Field.
dd.mm.yyyy</t>
        </r>
      </text>
    </comment>
    <comment ref="Z24" authorId="1" shapeId="0">
      <text>
        <r>
          <rPr>
            <b/>
            <sz val="8"/>
            <color indexed="81"/>
            <rFont val="Tahoma"/>
            <family val="2"/>
          </rPr>
          <t>lglasson:</t>
        </r>
        <r>
          <rPr>
            <sz val="8"/>
            <color indexed="81"/>
            <rFont val="Tahoma"/>
            <family val="2"/>
          </rPr>
          <t xml:space="preserve">
Compulsory Field.
4 characters</t>
        </r>
      </text>
    </comment>
    <comment ref="AA24" authorId="1" shapeId="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24" authorId="1" shapeId="0">
      <text>
        <r>
          <rPr>
            <b/>
            <sz val="8"/>
            <color indexed="81"/>
            <rFont val="Tahoma"/>
            <family val="2"/>
          </rPr>
          <t>lglasson:</t>
        </r>
        <r>
          <rPr>
            <sz val="8"/>
            <color indexed="81"/>
            <rFont val="Tahoma"/>
            <family val="2"/>
          </rPr>
          <t xml:space="preserve">
Up to 5 characters before numeric point</t>
        </r>
      </text>
    </comment>
    <comment ref="AC24" authorId="1" shapeId="0">
      <text>
        <r>
          <rPr>
            <b/>
            <sz val="8"/>
            <color indexed="81"/>
            <rFont val="Tahoma"/>
            <family val="2"/>
          </rPr>
          <t>lglasson:</t>
        </r>
        <r>
          <rPr>
            <sz val="8"/>
            <color indexed="81"/>
            <rFont val="Tahoma"/>
            <family val="2"/>
          </rPr>
          <t xml:space="preserve">
Inputs are:
Hours
Days
Weeks
Percent
Units
Months</t>
        </r>
      </text>
    </comment>
    <comment ref="A44" authorId="1" shapeId="0">
      <text>
        <r>
          <rPr>
            <b/>
            <sz val="8"/>
            <color indexed="81"/>
            <rFont val="Tahoma"/>
            <family val="2"/>
          </rPr>
          <t>lglasson:</t>
        </r>
        <r>
          <rPr>
            <sz val="8"/>
            <color indexed="81"/>
            <rFont val="Tahoma"/>
            <family val="2"/>
          </rPr>
          <t xml:space="preserve">
As per blueprint</t>
        </r>
      </text>
    </comment>
    <comment ref="A45" authorId="2" shapeId="0">
      <text>
        <r>
          <rPr>
            <b/>
            <sz val="9"/>
            <color indexed="81"/>
            <rFont val="Tahoma"/>
            <family val="2"/>
          </rPr>
          <t>Windows User:</t>
        </r>
        <r>
          <rPr>
            <sz val="9"/>
            <color indexed="81"/>
            <rFont val="Tahoma"/>
            <family val="2"/>
          </rPr>
          <t xml:space="preserve">
capping amount = 23,000,000</t>
        </r>
      </text>
    </comment>
    <comment ref="A59" authorId="2" shapeId="0">
      <text>
        <r>
          <rPr>
            <b/>
            <sz val="9"/>
            <color indexed="81"/>
            <rFont val="Tahoma"/>
            <family val="2"/>
          </rPr>
          <t>Windows User:</t>
        </r>
        <r>
          <rPr>
            <sz val="9"/>
            <color indexed="81"/>
            <rFont val="Tahoma"/>
            <family val="2"/>
          </rPr>
          <t xml:space="preserve">
capping amount = 23,000,000
</t>
        </r>
      </text>
    </comment>
    <comment ref="W94" authorId="1" shapeId="0">
      <text>
        <r>
          <rPr>
            <b/>
            <sz val="8"/>
            <color indexed="81"/>
            <rFont val="Tahoma"/>
            <family val="2"/>
          </rPr>
          <t>lglasson:</t>
        </r>
        <r>
          <rPr>
            <sz val="8"/>
            <color indexed="81"/>
            <rFont val="Tahoma"/>
            <family val="2"/>
          </rPr>
          <t xml:space="preserve">
Compulsory Field.
EE SAP number</t>
        </r>
      </text>
    </comment>
    <comment ref="X94" authorId="1" shapeId="0">
      <text>
        <r>
          <rPr>
            <b/>
            <sz val="8"/>
            <color indexed="81"/>
            <rFont val="Tahoma"/>
            <family val="2"/>
          </rPr>
          <t>lglasson:</t>
        </r>
        <r>
          <rPr>
            <sz val="8"/>
            <color indexed="81"/>
            <rFont val="Tahoma"/>
            <family val="2"/>
          </rPr>
          <t xml:space="preserve">
Compulsory Field.
dd.mm.yyyy</t>
        </r>
      </text>
    </comment>
    <comment ref="Y94" authorId="1" shapeId="0">
      <text>
        <r>
          <rPr>
            <b/>
            <sz val="8"/>
            <color indexed="81"/>
            <rFont val="Tahoma"/>
            <family val="2"/>
          </rPr>
          <t>lglasson:</t>
        </r>
        <r>
          <rPr>
            <sz val="8"/>
            <color indexed="81"/>
            <rFont val="Tahoma"/>
            <family val="2"/>
          </rPr>
          <t xml:space="preserve">
Compulsory Field.
dd.mm.yyyy</t>
        </r>
      </text>
    </comment>
    <comment ref="Z94" authorId="1" shapeId="0">
      <text>
        <r>
          <rPr>
            <b/>
            <sz val="8"/>
            <color indexed="81"/>
            <rFont val="Tahoma"/>
            <family val="2"/>
          </rPr>
          <t>lglasson:</t>
        </r>
        <r>
          <rPr>
            <sz val="8"/>
            <color indexed="81"/>
            <rFont val="Tahoma"/>
            <family val="2"/>
          </rPr>
          <t xml:space="preserve">
Compulsory Field.
4 characters</t>
        </r>
      </text>
    </comment>
    <comment ref="AA94" authorId="1" shapeId="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94" authorId="1" shapeId="0">
      <text>
        <r>
          <rPr>
            <b/>
            <sz val="8"/>
            <color indexed="81"/>
            <rFont val="Tahoma"/>
            <family val="2"/>
          </rPr>
          <t>lglasson:</t>
        </r>
        <r>
          <rPr>
            <sz val="8"/>
            <color indexed="81"/>
            <rFont val="Tahoma"/>
            <family val="2"/>
          </rPr>
          <t xml:space="preserve">
Up to 5 characters before numeric point</t>
        </r>
      </text>
    </comment>
    <comment ref="AC94" authorId="1" shapeId="0">
      <text>
        <r>
          <rPr>
            <b/>
            <sz val="8"/>
            <color indexed="81"/>
            <rFont val="Tahoma"/>
            <family val="2"/>
          </rPr>
          <t>lglasson:</t>
        </r>
        <r>
          <rPr>
            <sz val="8"/>
            <color indexed="81"/>
            <rFont val="Tahoma"/>
            <family val="2"/>
          </rPr>
          <t xml:space="preserve">
Inputs are:
Hours
Days
Weeks
Percent
Units
Months</t>
        </r>
      </text>
    </comment>
  </commentList>
</comments>
</file>

<file path=xl/comments14.xml><?xml version="1.0" encoding="utf-8"?>
<comments xmlns="http://schemas.openxmlformats.org/spreadsheetml/2006/main">
  <authors>
    <author>lglasson</author>
    <author>Windows User</author>
  </authors>
  <commentList>
    <comment ref="A24" authorId="0" shapeId="0">
      <text>
        <r>
          <rPr>
            <b/>
            <sz val="8"/>
            <color indexed="81"/>
            <rFont val="Tahoma"/>
            <family val="2"/>
          </rPr>
          <t>lglasson:</t>
        </r>
        <r>
          <rPr>
            <sz val="8"/>
            <color indexed="81"/>
            <rFont val="Tahoma"/>
            <family val="2"/>
          </rPr>
          <t xml:space="preserve">
As per blueprint</t>
        </r>
      </text>
    </comment>
    <comment ref="W24" authorId="0" shapeId="0">
      <text>
        <r>
          <rPr>
            <b/>
            <sz val="8"/>
            <color indexed="81"/>
            <rFont val="Tahoma"/>
            <family val="2"/>
          </rPr>
          <t>lglasson:</t>
        </r>
        <r>
          <rPr>
            <sz val="8"/>
            <color indexed="81"/>
            <rFont val="Tahoma"/>
            <family val="2"/>
          </rPr>
          <t xml:space="preserve">
Compulsory Field.
EE SAP number</t>
        </r>
      </text>
    </comment>
    <comment ref="X24" authorId="0" shapeId="0">
      <text>
        <r>
          <rPr>
            <b/>
            <sz val="8"/>
            <color indexed="81"/>
            <rFont val="Tahoma"/>
            <family val="2"/>
          </rPr>
          <t>lglasson:</t>
        </r>
        <r>
          <rPr>
            <sz val="8"/>
            <color indexed="81"/>
            <rFont val="Tahoma"/>
            <family val="2"/>
          </rPr>
          <t xml:space="preserve">
Compulsory Field.
dd.mm.yyyy</t>
        </r>
      </text>
    </comment>
    <comment ref="Y24" authorId="0" shapeId="0">
      <text>
        <r>
          <rPr>
            <b/>
            <sz val="8"/>
            <color indexed="81"/>
            <rFont val="Tahoma"/>
            <family val="2"/>
          </rPr>
          <t>lglasson:</t>
        </r>
        <r>
          <rPr>
            <sz val="8"/>
            <color indexed="81"/>
            <rFont val="Tahoma"/>
            <family val="2"/>
          </rPr>
          <t xml:space="preserve">
Compulsory Field.
dd.mm.yyyy</t>
        </r>
      </text>
    </comment>
    <comment ref="Z24" authorId="0" shapeId="0">
      <text>
        <r>
          <rPr>
            <b/>
            <sz val="8"/>
            <color indexed="81"/>
            <rFont val="Tahoma"/>
            <family val="2"/>
          </rPr>
          <t>lglasson:</t>
        </r>
        <r>
          <rPr>
            <sz val="8"/>
            <color indexed="81"/>
            <rFont val="Tahoma"/>
            <family val="2"/>
          </rPr>
          <t xml:space="preserve">
Compulsory Field.
4 characters</t>
        </r>
      </text>
    </comment>
    <comment ref="AA24" authorId="0" shapeId="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24" authorId="0" shapeId="0">
      <text>
        <r>
          <rPr>
            <b/>
            <sz val="8"/>
            <color indexed="81"/>
            <rFont val="Tahoma"/>
            <family val="2"/>
          </rPr>
          <t>lglasson:</t>
        </r>
        <r>
          <rPr>
            <sz val="8"/>
            <color indexed="81"/>
            <rFont val="Tahoma"/>
            <family val="2"/>
          </rPr>
          <t xml:space="preserve">
Up to 5 characters before numeric point</t>
        </r>
      </text>
    </comment>
    <comment ref="AC24" authorId="0" shapeId="0">
      <text>
        <r>
          <rPr>
            <b/>
            <sz val="8"/>
            <color indexed="81"/>
            <rFont val="Tahoma"/>
            <family val="2"/>
          </rPr>
          <t>lglasson:</t>
        </r>
        <r>
          <rPr>
            <sz val="8"/>
            <color indexed="81"/>
            <rFont val="Tahoma"/>
            <family val="2"/>
          </rPr>
          <t xml:space="preserve">
Inputs are:
Hours
Days
Weeks
Percent
Units
Months</t>
        </r>
      </text>
    </comment>
    <comment ref="A49" authorId="0" shapeId="0">
      <text>
        <r>
          <rPr>
            <b/>
            <sz val="8"/>
            <color indexed="81"/>
            <rFont val="Tahoma"/>
            <family val="2"/>
          </rPr>
          <t>lglasson:</t>
        </r>
        <r>
          <rPr>
            <sz val="8"/>
            <color indexed="81"/>
            <rFont val="Tahoma"/>
            <family val="2"/>
          </rPr>
          <t xml:space="preserve">
As per blueprint</t>
        </r>
      </text>
    </comment>
    <comment ref="A50" authorId="1" shapeId="0">
      <text>
        <r>
          <rPr>
            <b/>
            <sz val="9"/>
            <color indexed="81"/>
            <rFont val="Tahoma"/>
            <family val="2"/>
          </rPr>
          <t>Windows User:</t>
        </r>
        <r>
          <rPr>
            <sz val="9"/>
            <color indexed="81"/>
            <rFont val="Tahoma"/>
            <family val="2"/>
          </rPr>
          <t xml:space="preserve">
capping amount = 23,000,000</t>
        </r>
      </text>
    </comment>
    <comment ref="A64" authorId="1" shapeId="0">
      <text>
        <r>
          <rPr>
            <b/>
            <sz val="9"/>
            <color indexed="81"/>
            <rFont val="Tahoma"/>
            <family val="2"/>
          </rPr>
          <t>Windows User:</t>
        </r>
        <r>
          <rPr>
            <sz val="9"/>
            <color indexed="81"/>
            <rFont val="Tahoma"/>
            <family val="2"/>
          </rPr>
          <t xml:space="preserve">
capping amount = 23,000,000
</t>
        </r>
      </text>
    </comment>
    <comment ref="W94" authorId="0" shapeId="0">
      <text>
        <r>
          <rPr>
            <b/>
            <sz val="8"/>
            <color indexed="81"/>
            <rFont val="Tahoma"/>
            <family val="2"/>
          </rPr>
          <t>lglasson:</t>
        </r>
        <r>
          <rPr>
            <sz val="8"/>
            <color indexed="81"/>
            <rFont val="Tahoma"/>
            <family val="2"/>
          </rPr>
          <t xml:space="preserve">
Compulsory Field.
EE SAP number</t>
        </r>
      </text>
    </comment>
    <comment ref="X94" authorId="0" shapeId="0">
      <text>
        <r>
          <rPr>
            <b/>
            <sz val="8"/>
            <color indexed="81"/>
            <rFont val="Tahoma"/>
            <family val="2"/>
          </rPr>
          <t>lglasson:</t>
        </r>
        <r>
          <rPr>
            <sz val="8"/>
            <color indexed="81"/>
            <rFont val="Tahoma"/>
            <family val="2"/>
          </rPr>
          <t xml:space="preserve">
Compulsory Field.
dd.mm.yyyy</t>
        </r>
      </text>
    </comment>
    <comment ref="Y94" authorId="0" shapeId="0">
      <text>
        <r>
          <rPr>
            <b/>
            <sz val="8"/>
            <color indexed="81"/>
            <rFont val="Tahoma"/>
            <family val="2"/>
          </rPr>
          <t>lglasson:</t>
        </r>
        <r>
          <rPr>
            <sz val="8"/>
            <color indexed="81"/>
            <rFont val="Tahoma"/>
            <family val="2"/>
          </rPr>
          <t xml:space="preserve">
Compulsory Field.
dd.mm.yyyy</t>
        </r>
      </text>
    </comment>
    <comment ref="Z94" authorId="0" shapeId="0">
      <text>
        <r>
          <rPr>
            <b/>
            <sz val="8"/>
            <color indexed="81"/>
            <rFont val="Tahoma"/>
            <family val="2"/>
          </rPr>
          <t>lglasson:</t>
        </r>
        <r>
          <rPr>
            <sz val="8"/>
            <color indexed="81"/>
            <rFont val="Tahoma"/>
            <family val="2"/>
          </rPr>
          <t xml:space="preserve">
Compulsory Field.
4 characters</t>
        </r>
      </text>
    </comment>
    <comment ref="AA94" authorId="0" shapeId="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94" authorId="0" shapeId="0">
      <text>
        <r>
          <rPr>
            <b/>
            <sz val="8"/>
            <color indexed="81"/>
            <rFont val="Tahoma"/>
            <family val="2"/>
          </rPr>
          <t>lglasson:</t>
        </r>
        <r>
          <rPr>
            <sz val="8"/>
            <color indexed="81"/>
            <rFont val="Tahoma"/>
            <family val="2"/>
          </rPr>
          <t xml:space="preserve">
Up to 5 characters before numeric point</t>
        </r>
      </text>
    </comment>
    <comment ref="AC94" authorId="0" shapeId="0">
      <text>
        <r>
          <rPr>
            <b/>
            <sz val="8"/>
            <color indexed="81"/>
            <rFont val="Tahoma"/>
            <family val="2"/>
          </rPr>
          <t>lglasson:</t>
        </r>
        <r>
          <rPr>
            <sz val="8"/>
            <color indexed="81"/>
            <rFont val="Tahoma"/>
            <family val="2"/>
          </rPr>
          <t xml:space="preserve">
Inputs are:
Hours
Days
Weeks
Percent
Units
Months</t>
        </r>
      </text>
    </comment>
    <comment ref="W105" authorId="0" shapeId="0">
      <text>
        <r>
          <rPr>
            <b/>
            <sz val="8"/>
            <color indexed="81"/>
            <rFont val="Tahoma"/>
            <family val="2"/>
          </rPr>
          <t>lglasson:</t>
        </r>
        <r>
          <rPr>
            <sz val="8"/>
            <color indexed="81"/>
            <rFont val="Tahoma"/>
            <family val="2"/>
          </rPr>
          <t xml:space="preserve">
Compulsory Field.
EE SAP number</t>
        </r>
      </text>
    </comment>
    <comment ref="X105" authorId="0" shapeId="0">
      <text>
        <r>
          <rPr>
            <b/>
            <sz val="8"/>
            <color indexed="81"/>
            <rFont val="Tahoma"/>
            <family val="2"/>
          </rPr>
          <t>lglasson:</t>
        </r>
        <r>
          <rPr>
            <sz val="8"/>
            <color indexed="81"/>
            <rFont val="Tahoma"/>
            <family val="2"/>
          </rPr>
          <t xml:space="preserve">
Compulsory Field.
dd.mm.yyyy</t>
        </r>
      </text>
    </comment>
    <comment ref="Y105" authorId="0" shapeId="0">
      <text>
        <r>
          <rPr>
            <b/>
            <sz val="8"/>
            <color indexed="81"/>
            <rFont val="Tahoma"/>
            <family val="2"/>
          </rPr>
          <t>lglasson:</t>
        </r>
        <r>
          <rPr>
            <sz val="8"/>
            <color indexed="81"/>
            <rFont val="Tahoma"/>
            <family val="2"/>
          </rPr>
          <t xml:space="preserve">
Compulsory Field.
dd.mm.yyyy</t>
        </r>
      </text>
    </comment>
    <comment ref="Z105" authorId="0" shapeId="0">
      <text>
        <r>
          <rPr>
            <b/>
            <sz val="8"/>
            <color indexed="81"/>
            <rFont val="Tahoma"/>
            <family val="2"/>
          </rPr>
          <t>lglasson:</t>
        </r>
        <r>
          <rPr>
            <sz val="8"/>
            <color indexed="81"/>
            <rFont val="Tahoma"/>
            <family val="2"/>
          </rPr>
          <t xml:space="preserve">
Compulsory Field.
4 characters</t>
        </r>
      </text>
    </comment>
    <comment ref="AA105" authorId="0" shapeId="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105" authorId="0" shapeId="0">
      <text>
        <r>
          <rPr>
            <b/>
            <sz val="8"/>
            <color indexed="81"/>
            <rFont val="Tahoma"/>
            <family val="2"/>
          </rPr>
          <t>lglasson:</t>
        </r>
        <r>
          <rPr>
            <sz val="8"/>
            <color indexed="81"/>
            <rFont val="Tahoma"/>
            <family val="2"/>
          </rPr>
          <t xml:space="preserve">
Up to 5 characters before numeric point</t>
        </r>
      </text>
    </comment>
    <comment ref="AC105" authorId="0" shapeId="0">
      <text>
        <r>
          <rPr>
            <b/>
            <sz val="8"/>
            <color indexed="81"/>
            <rFont val="Tahoma"/>
            <family val="2"/>
          </rPr>
          <t>lglasson:</t>
        </r>
        <r>
          <rPr>
            <sz val="8"/>
            <color indexed="81"/>
            <rFont val="Tahoma"/>
            <family val="2"/>
          </rPr>
          <t xml:space="preserve">
Inputs are:
Hours
Days
Weeks
Percent
Units
Months</t>
        </r>
      </text>
    </comment>
  </commentList>
</comments>
</file>

<file path=xl/comments15.xml><?xml version="1.0" encoding="utf-8"?>
<comments xmlns="http://schemas.openxmlformats.org/spreadsheetml/2006/main">
  <authors>
    <author>Xia, Summer (ESI)</author>
    <author>lglasson</author>
    <author>Windows User</author>
  </authors>
  <commentList>
    <comment ref="D7" authorId="0" shapeId="0">
      <text>
        <r>
          <rPr>
            <b/>
            <sz val="9"/>
            <color indexed="81"/>
            <rFont val="Tahoma"/>
            <family val="2"/>
          </rPr>
          <t>Rehired on Oct 1st with new salary package and 6 months contract</t>
        </r>
        <r>
          <rPr>
            <sz val="9"/>
            <color indexed="81"/>
            <rFont val="Tahoma"/>
            <family val="2"/>
          </rPr>
          <t xml:space="preserve">
</t>
        </r>
      </text>
    </comment>
    <comment ref="A24" authorId="1" shapeId="0">
      <text>
        <r>
          <rPr>
            <b/>
            <sz val="8"/>
            <color indexed="81"/>
            <rFont val="Tahoma"/>
            <family val="2"/>
          </rPr>
          <t>lglasson:</t>
        </r>
        <r>
          <rPr>
            <sz val="8"/>
            <color indexed="81"/>
            <rFont val="Tahoma"/>
            <family val="2"/>
          </rPr>
          <t xml:space="preserve">
As per blueprint</t>
        </r>
      </text>
    </comment>
    <comment ref="W24" authorId="1" shapeId="0">
      <text>
        <r>
          <rPr>
            <b/>
            <sz val="8"/>
            <color indexed="81"/>
            <rFont val="Tahoma"/>
            <family val="2"/>
          </rPr>
          <t>lglasson:</t>
        </r>
        <r>
          <rPr>
            <sz val="8"/>
            <color indexed="81"/>
            <rFont val="Tahoma"/>
            <family val="2"/>
          </rPr>
          <t xml:space="preserve">
Compulsory Field.
EE SAP number</t>
        </r>
      </text>
    </comment>
    <comment ref="X24" authorId="1" shapeId="0">
      <text>
        <r>
          <rPr>
            <b/>
            <sz val="8"/>
            <color indexed="81"/>
            <rFont val="Tahoma"/>
            <family val="2"/>
          </rPr>
          <t>lglasson:</t>
        </r>
        <r>
          <rPr>
            <sz val="8"/>
            <color indexed="81"/>
            <rFont val="Tahoma"/>
            <family val="2"/>
          </rPr>
          <t xml:space="preserve">
Compulsory Field.
dd.mm.yyyy</t>
        </r>
      </text>
    </comment>
    <comment ref="Y24" authorId="1" shapeId="0">
      <text>
        <r>
          <rPr>
            <b/>
            <sz val="8"/>
            <color indexed="81"/>
            <rFont val="Tahoma"/>
            <family val="2"/>
          </rPr>
          <t>lglasson:</t>
        </r>
        <r>
          <rPr>
            <sz val="8"/>
            <color indexed="81"/>
            <rFont val="Tahoma"/>
            <family val="2"/>
          </rPr>
          <t xml:space="preserve">
Compulsory Field.
dd.mm.yyyy</t>
        </r>
      </text>
    </comment>
    <comment ref="Z24" authorId="1" shapeId="0">
      <text>
        <r>
          <rPr>
            <b/>
            <sz val="8"/>
            <color indexed="81"/>
            <rFont val="Tahoma"/>
            <family val="2"/>
          </rPr>
          <t>lglasson:</t>
        </r>
        <r>
          <rPr>
            <sz val="8"/>
            <color indexed="81"/>
            <rFont val="Tahoma"/>
            <family val="2"/>
          </rPr>
          <t xml:space="preserve">
Compulsory Field.
4 characters</t>
        </r>
      </text>
    </comment>
    <comment ref="AA24" authorId="1" shapeId="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24" authorId="1" shapeId="0">
      <text>
        <r>
          <rPr>
            <b/>
            <sz val="8"/>
            <color indexed="81"/>
            <rFont val="Tahoma"/>
            <family val="2"/>
          </rPr>
          <t>lglasson:</t>
        </r>
        <r>
          <rPr>
            <sz val="8"/>
            <color indexed="81"/>
            <rFont val="Tahoma"/>
            <family val="2"/>
          </rPr>
          <t xml:space="preserve">
Up to 5 characters before numeric point</t>
        </r>
      </text>
    </comment>
    <comment ref="AC24" authorId="1" shapeId="0">
      <text>
        <r>
          <rPr>
            <b/>
            <sz val="8"/>
            <color indexed="81"/>
            <rFont val="Tahoma"/>
            <family val="2"/>
          </rPr>
          <t>lglasson:</t>
        </r>
        <r>
          <rPr>
            <sz val="8"/>
            <color indexed="81"/>
            <rFont val="Tahoma"/>
            <family val="2"/>
          </rPr>
          <t xml:space="preserve">
Inputs are:
Hours
Days
Weeks
Percent
Units
Months</t>
        </r>
      </text>
    </comment>
    <comment ref="W48" authorId="1" shapeId="0">
      <text>
        <r>
          <rPr>
            <b/>
            <sz val="8"/>
            <color indexed="81"/>
            <rFont val="Tahoma"/>
            <family val="2"/>
          </rPr>
          <t>lglasson:</t>
        </r>
        <r>
          <rPr>
            <sz val="8"/>
            <color indexed="81"/>
            <rFont val="Tahoma"/>
            <family val="2"/>
          </rPr>
          <t xml:space="preserve">
Compulsory Field.
EE SAP number</t>
        </r>
      </text>
    </comment>
    <comment ref="X48" authorId="1" shapeId="0">
      <text>
        <r>
          <rPr>
            <b/>
            <sz val="8"/>
            <color indexed="81"/>
            <rFont val="Tahoma"/>
            <family val="2"/>
          </rPr>
          <t>lglasson:</t>
        </r>
        <r>
          <rPr>
            <sz val="8"/>
            <color indexed="81"/>
            <rFont val="Tahoma"/>
            <family val="2"/>
          </rPr>
          <t xml:space="preserve">
Compulsory Field.
dd.mm.yyyy</t>
        </r>
      </text>
    </comment>
    <comment ref="Y48" authorId="1" shapeId="0">
      <text>
        <r>
          <rPr>
            <b/>
            <sz val="8"/>
            <color indexed="81"/>
            <rFont val="Tahoma"/>
            <family val="2"/>
          </rPr>
          <t>lglasson:</t>
        </r>
        <r>
          <rPr>
            <sz val="8"/>
            <color indexed="81"/>
            <rFont val="Tahoma"/>
            <family val="2"/>
          </rPr>
          <t xml:space="preserve">
Compulsory Field.
dd.mm.yyyy</t>
        </r>
      </text>
    </comment>
    <comment ref="Z48" authorId="1" shapeId="0">
      <text>
        <r>
          <rPr>
            <b/>
            <sz val="8"/>
            <color indexed="81"/>
            <rFont val="Tahoma"/>
            <family val="2"/>
          </rPr>
          <t>lglasson:</t>
        </r>
        <r>
          <rPr>
            <sz val="8"/>
            <color indexed="81"/>
            <rFont val="Tahoma"/>
            <family val="2"/>
          </rPr>
          <t xml:space="preserve">
Compulsory Field.
4 characters</t>
        </r>
      </text>
    </comment>
    <comment ref="AA48" authorId="1" shapeId="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48" authorId="1" shapeId="0">
      <text>
        <r>
          <rPr>
            <b/>
            <sz val="8"/>
            <color indexed="81"/>
            <rFont val="Tahoma"/>
            <family val="2"/>
          </rPr>
          <t>lglasson:</t>
        </r>
        <r>
          <rPr>
            <sz val="8"/>
            <color indexed="81"/>
            <rFont val="Tahoma"/>
            <family val="2"/>
          </rPr>
          <t xml:space="preserve">
Up to 5 characters before numeric point</t>
        </r>
      </text>
    </comment>
    <comment ref="AC48" authorId="1" shapeId="0">
      <text>
        <r>
          <rPr>
            <b/>
            <sz val="8"/>
            <color indexed="81"/>
            <rFont val="Tahoma"/>
            <family val="2"/>
          </rPr>
          <t>lglasson:</t>
        </r>
        <r>
          <rPr>
            <sz val="8"/>
            <color indexed="81"/>
            <rFont val="Tahoma"/>
            <family val="2"/>
          </rPr>
          <t xml:space="preserve">
Inputs are:
Hours
Days
Weeks
Percent
Units
Months</t>
        </r>
      </text>
    </comment>
    <comment ref="A49" authorId="1" shapeId="0">
      <text>
        <r>
          <rPr>
            <b/>
            <sz val="8"/>
            <color indexed="81"/>
            <rFont val="Tahoma"/>
            <family val="2"/>
          </rPr>
          <t>lglasson:</t>
        </r>
        <r>
          <rPr>
            <sz val="8"/>
            <color indexed="81"/>
            <rFont val="Tahoma"/>
            <family val="2"/>
          </rPr>
          <t xml:space="preserve">
As per blueprint</t>
        </r>
      </text>
    </comment>
    <comment ref="A50" authorId="2" shapeId="0">
      <text>
        <r>
          <rPr>
            <b/>
            <sz val="9"/>
            <color indexed="81"/>
            <rFont val="Tahoma"/>
            <family val="2"/>
          </rPr>
          <t>Windows User:</t>
        </r>
        <r>
          <rPr>
            <sz val="9"/>
            <color indexed="81"/>
            <rFont val="Tahoma"/>
            <family val="2"/>
          </rPr>
          <t xml:space="preserve">
capping amount = 23,000,000</t>
        </r>
      </text>
    </comment>
    <comment ref="W60" authorId="1" shapeId="0">
      <text>
        <r>
          <rPr>
            <b/>
            <sz val="8"/>
            <color indexed="81"/>
            <rFont val="Tahoma"/>
            <family val="2"/>
          </rPr>
          <t>lglasson:</t>
        </r>
        <r>
          <rPr>
            <sz val="8"/>
            <color indexed="81"/>
            <rFont val="Tahoma"/>
            <family val="2"/>
          </rPr>
          <t xml:space="preserve">
Compulsory Field.
EE SAP number</t>
        </r>
      </text>
    </comment>
    <comment ref="X60" authorId="1" shapeId="0">
      <text>
        <r>
          <rPr>
            <b/>
            <sz val="8"/>
            <color indexed="81"/>
            <rFont val="Tahoma"/>
            <family val="2"/>
          </rPr>
          <t>lglasson:</t>
        </r>
        <r>
          <rPr>
            <sz val="8"/>
            <color indexed="81"/>
            <rFont val="Tahoma"/>
            <family val="2"/>
          </rPr>
          <t xml:space="preserve">
Compulsory Field.
dd.mm.yyyy</t>
        </r>
      </text>
    </comment>
    <comment ref="Y60" authorId="1" shapeId="0">
      <text>
        <r>
          <rPr>
            <b/>
            <sz val="8"/>
            <color indexed="81"/>
            <rFont val="Tahoma"/>
            <family val="2"/>
          </rPr>
          <t>lglasson:</t>
        </r>
        <r>
          <rPr>
            <sz val="8"/>
            <color indexed="81"/>
            <rFont val="Tahoma"/>
            <family val="2"/>
          </rPr>
          <t xml:space="preserve">
Compulsory Field.
dd.mm.yyyy</t>
        </r>
      </text>
    </comment>
    <comment ref="Z60" authorId="1" shapeId="0">
      <text>
        <r>
          <rPr>
            <b/>
            <sz val="8"/>
            <color indexed="81"/>
            <rFont val="Tahoma"/>
            <family val="2"/>
          </rPr>
          <t>lglasson:</t>
        </r>
        <r>
          <rPr>
            <sz val="8"/>
            <color indexed="81"/>
            <rFont val="Tahoma"/>
            <family val="2"/>
          </rPr>
          <t xml:space="preserve">
Compulsory Field.
4 characters</t>
        </r>
      </text>
    </comment>
    <comment ref="AA60" authorId="1" shapeId="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60" authorId="1" shapeId="0">
      <text>
        <r>
          <rPr>
            <b/>
            <sz val="8"/>
            <color indexed="81"/>
            <rFont val="Tahoma"/>
            <family val="2"/>
          </rPr>
          <t>lglasson:</t>
        </r>
        <r>
          <rPr>
            <sz val="8"/>
            <color indexed="81"/>
            <rFont val="Tahoma"/>
            <family val="2"/>
          </rPr>
          <t xml:space="preserve">
Up to 5 characters before numeric point</t>
        </r>
      </text>
    </comment>
    <comment ref="AC60" authorId="1" shapeId="0">
      <text>
        <r>
          <rPr>
            <b/>
            <sz val="8"/>
            <color indexed="81"/>
            <rFont val="Tahoma"/>
            <family val="2"/>
          </rPr>
          <t>lglasson:</t>
        </r>
        <r>
          <rPr>
            <sz val="8"/>
            <color indexed="81"/>
            <rFont val="Tahoma"/>
            <family val="2"/>
          </rPr>
          <t xml:space="preserve">
Inputs are:
Hours
Days
Weeks
Percent
Units
Months</t>
        </r>
      </text>
    </comment>
    <comment ref="A64" authorId="2" shapeId="0">
      <text>
        <r>
          <rPr>
            <b/>
            <sz val="9"/>
            <color indexed="81"/>
            <rFont val="Tahoma"/>
            <family val="2"/>
          </rPr>
          <t>Windows User:</t>
        </r>
        <r>
          <rPr>
            <sz val="9"/>
            <color indexed="81"/>
            <rFont val="Tahoma"/>
            <family val="2"/>
          </rPr>
          <t xml:space="preserve">
capping amount = 23,000,000
</t>
        </r>
      </text>
    </comment>
    <comment ref="W72" authorId="1" shapeId="0">
      <text>
        <r>
          <rPr>
            <b/>
            <sz val="8"/>
            <color indexed="81"/>
            <rFont val="Tahoma"/>
            <family val="2"/>
          </rPr>
          <t>lglasson:</t>
        </r>
        <r>
          <rPr>
            <sz val="8"/>
            <color indexed="81"/>
            <rFont val="Tahoma"/>
            <family val="2"/>
          </rPr>
          <t xml:space="preserve">
Compulsory Field.
EE SAP number</t>
        </r>
      </text>
    </comment>
    <comment ref="X72" authorId="1" shapeId="0">
      <text>
        <r>
          <rPr>
            <b/>
            <sz val="8"/>
            <color indexed="81"/>
            <rFont val="Tahoma"/>
            <family val="2"/>
          </rPr>
          <t>lglasson:</t>
        </r>
        <r>
          <rPr>
            <sz val="8"/>
            <color indexed="81"/>
            <rFont val="Tahoma"/>
            <family val="2"/>
          </rPr>
          <t xml:space="preserve">
Compulsory Field.
dd.mm.yyyy</t>
        </r>
      </text>
    </comment>
    <comment ref="Y72" authorId="1" shapeId="0">
      <text>
        <r>
          <rPr>
            <b/>
            <sz val="8"/>
            <color indexed="81"/>
            <rFont val="Tahoma"/>
            <family val="2"/>
          </rPr>
          <t>lglasson:</t>
        </r>
        <r>
          <rPr>
            <sz val="8"/>
            <color indexed="81"/>
            <rFont val="Tahoma"/>
            <family val="2"/>
          </rPr>
          <t xml:space="preserve">
Compulsory Field.
dd.mm.yyyy</t>
        </r>
      </text>
    </comment>
    <comment ref="Z72" authorId="1" shapeId="0">
      <text>
        <r>
          <rPr>
            <b/>
            <sz val="8"/>
            <color indexed="81"/>
            <rFont val="Tahoma"/>
            <family val="2"/>
          </rPr>
          <t>lglasson:</t>
        </r>
        <r>
          <rPr>
            <sz val="8"/>
            <color indexed="81"/>
            <rFont val="Tahoma"/>
            <family val="2"/>
          </rPr>
          <t xml:space="preserve">
Compulsory Field.
4 characters</t>
        </r>
      </text>
    </comment>
    <comment ref="AA72" authorId="1" shapeId="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72" authorId="1" shapeId="0">
      <text>
        <r>
          <rPr>
            <b/>
            <sz val="8"/>
            <color indexed="81"/>
            <rFont val="Tahoma"/>
            <family val="2"/>
          </rPr>
          <t>lglasson:</t>
        </r>
        <r>
          <rPr>
            <sz val="8"/>
            <color indexed="81"/>
            <rFont val="Tahoma"/>
            <family val="2"/>
          </rPr>
          <t xml:space="preserve">
Up to 5 characters before numeric point</t>
        </r>
      </text>
    </comment>
    <comment ref="AC72" authorId="1" shapeId="0">
      <text>
        <r>
          <rPr>
            <b/>
            <sz val="8"/>
            <color indexed="81"/>
            <rFont val="Tahoma"/>
            <family val="2"/>
          </rPr>
          <t>lglasson:</t>
        </r>
        <r>
          <rPr>
            <sz val="8"/>
            <color indexed="81"/>
            <rFont val="Tahoma"/>
            <family val="2"/>
          </rPr>
          <t xml:space="preserve">
Inputs are:
Hours
Days
Weeks
Percent
Units
Months</t>
        </r>
      </text>
    </comment>
    <comment ref="E99" authorId="0" shapeId="0">
      <text>
        <r>
          <rPr>
            <b/>
            <sz val="9"/>
            <color indexed="81"/>
            <rFont val="Tahoma"/>
            <family val="2"/>
          </rPr>
          <t>PH is counted as unpaid day due to full month absence</t>
        </r>
      </text>
    </comment>
    <comment ref="H99" authorId="0" shapeId="0">
      <text>
        <r>
          <rPr>
            <b/>
            <sz val="9"/>
            <color indexed="81"/>
            <rFont val="Tahoma"/>
            <family val="2"/>
          </rPr>
          <t>PH is not counted as unpaid day</t>
        </r>
        <r>
          <rPr>
            <sz val="9"/>
            <color indexed="81"/>
            <rFont val="Tahoma"/>
            <family val="2"/>
          </rPr>
          <t xml:space="preserve">
</t>
        </r>
      </text>
    </comment>
  </commentList>
</comments>
</file>

<file path=xl/comments16.xml><?xml version="1.0" encoding="utf-8"?>
<comments xmlns="http://schemas.openxmlformats.org/spreadsheetml/2006/main">
  <authors>
    <author>lglasson</author>
    <author>Xia, Summer (ESI)</author>
    <author>Windows User</author>
  </authors>
  <commentList>
    <comment ref="W24" authorId="0" shapeId="0">
      <text>
        <r>
          <rPr>
            <b/>
            <sz val="8"/>
            <color indexed="81"/>
            <rFont val="Tahoma"/>
            <family val="2"/>
          </rPr>
          <t>lglasson:</t>
        </r>
        <r>
          <rPr>
            <sz val="8"/>
            <color indexed="81"/>
            <rFont val="Tahoma"/>
            <family val="2"/>
          </rPr>
          <t xml:space="preserve">
Compulsory Field.
EE SAP number</t>
        </r>
      </text>
    </comment>
    <comment ref="X24" authorId="0" shapeId="0">
      <text>
        <r>
          <rPr>
            <b/>
            <sz val="8"/>
            <color indexed="81"/>
            <rFont val="Tahoma"/>
            <family val="2"/>
          </rPr>
          <t>lglasson:</t>
        </r>
        <r>
          <rPr>
            <sz val="8"/>
            <color indexed="81"/>
            <rFont val="Tahoma"/>
            <family val="2"/>
          </rPr>
          <t xml:space="preserve">
Compulsory Field.
dd.mm.yyyy</t>
        </r>
      </text>
    </comment>
    <comment ref="Y24" authorId="0" shapeId="0">
      <text>
        <r>
          <rPr>
            <b/>
            <sz val="8"/>
            <color indexed="81"/>
            <rFont val="Tahoma"/>
            <family val="2"/>
          </rPr>
          <t>lglasson:</t>
        </r>
        <r>
          <rPr>
            <sz val="8"/>
            <color indexed="81"/>
            <rFont val="Tahoma"/>
            <family val="2"/>
          </rPr>
          <t xml:space="preserve">
Compulsory Field.
dd.mm.yyyy</t>
        </r>
      </text>
    </comment>
    <comment ref="Z24" authorId="0" shapeId="0">
      <text>
        <r>
          <rPr>
            <b/>
            <sz val="8"/>
            <color indexed="81"/>
            <rFont val="Tahoma"/>
            <family val="2"/>
          </rPr>
          <t>lglasson:</t>
        </r>
        <r>
          <rPr>
            <sz val="8"/>
            <color indexed="81"/>
            <rFont val="Tahoma"/>
            <family val="2"/>
          </rPr>
          <t xml:space="preserve">
Compulsory Field.
4 characters</t>
        </r>
      </text>
    </comment>
    <comment ref="AA24" authorId="0" shapeId="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24" authorId="0" shapeId="0">
      <text>
        <r>
          <rPr>
            <b/>
            <sz val="8"/>
            <color indexed="81"/>
            <rFont val="Tahoma"/>
            <family val="2"/>
          </rPr>
          <t>lglasson:</t>
        </r>
        <r>
          <rPr>
            <sz val="8"/>
            <color indexed="81"/>
            <rFont val="Tahoma"/>
            <family val="2"/>
          </rPr>
          <t xml:space="preserve">
Up to 5 characters before numeric point</t>
        </r>
      </text>
    </comment>
    <comment ref="AC24" authorId="0" shapeId="0">
      <text>
        <r>
          <rPr>
            <b/>
            <sz val="8"/>
            <color indexed="81"/>
            <rFont val="Tahoma"/>
            <family val="2"/>
          </rPr>
          <t>lglasson:</t>
        </r>
        <r>
          <rPr>
            <sz val="8"/>
            <color indexed="81"/>
            <rFont val="Tahoma"/>
            <family val="2"/>
          </rPr>
          <t xml:space="preserve">
Inputs are:
Hours
Days
Weeks
Percent
Units
Months</t>
        </r>
      </text>
    </comment>
    <comment ref="A25" authorId="0" shapeId="0">
      <text>
        <r>
          <rPr>
            <b/>
            <sz val="8"/>
            <color indexed="81"/>
            <rFont val="Tahoma"/>
            <family val="2"/>
          </rPr>
          <t>lglasson:</t>
        </r>
        <r>
          <rPr>
            <sz val="8"/>
            <color indexed="81"/>
            <rFont val="Tahoma"/>
            <family val="2"/>
          </rPr>
          <t xml:space="preserve">
As per blueprint</t>
        </r>
      </text>
    </comment>
    <comment ref="H32" authorId="1" shapeId="0">
      <text>
        <r>
          <rPr>
            <b/>
            <sz val="9"/>
            <color indexed="81"/>
            <rFont val="Tahoma"/>
            <family val="2"/>
          </rPr>
          <t>WT5060 is only used for overused SL quota balance</t>
        </r>
        <r>
          <rPr>
            <sz val="9"/>
            <color indexed="81"/>
            <rFont val="Tahoma"/>
            <family val="2"/>
          </rPr>
          <t xml:space="preserve">
</t>
        </r>
      </text>
    </comment>
    <comment ref="N32" authorId="1" shapeId="0">
      <text>
        <r>
          <rPr>
            <b/>
            <sz val="9"/>
            <color indexed="81"/>
            <rFont val="Tahoma"/>
            <family val="2"/>
          </rPr>
          <t>WT5060 is only used for overused SL quota balance</t>
        </r>
        <r>
          <rPr>
            <sz val="9"/>
            <color indexed="81"/>
            <rFont val="Tahoma"/>
            <family val="2"/>
          </rPr>
          <t xml:space="preserve">
</t>
        </r>
      </text>
    </comment>
    <comment ref="A45" authorId="0" shapeId="0">
      <text>
        <r>
          <rPr>
            <b/>
            <sz val="8"/>
            <color indexed="81"/>
            <rFont val="Tahoma"/>
            <family val="2"/>
          </rPr>
          <t>lglasson:</t>
        </r>
        <r>
          <rPr>
            <sz val="8"/>
            <color indexed="81"/>
            <rFont val="Tahoma"/>
            <family val="2"/>
          </rPr>
          <t xml:space="preserve">
As per blueprint</t>
        </r>
      </text>
    </comment>
    <comment ref="W45" authorId="0" shapeId="0">
      <text>
        <r>
          <rPr>
            <b/>
            <sz val="8"/>
            <color indexed="81"/>
            <rFont val="Tahoma"/>
            <family val="2"/>
          </rPr>
          <t>lglasson:</t>
        </r>
        <r>
          <rPr>
            <sz val="8"/>
            <color indexed="81"/>
            <rFont val="Tahoma"/>
            <family val="2"/>
          </rPr>
          <t xml:space="preserve">
Compulsory Field.
EE SAP number</t>
        </r>
      </text>
    </comment>
    <comment ref="X45" authorId="0" shapeId="0">
      <text>
        <r>
          <rPr>
            <b/>
            <sz val="8"/>
            <color indexed="81"/>
            <rFont val="Tahoma"/>
            <family val="2"/>
          </rPr>
          <t>lglasson:</t>
        </r>
        <r>
          <rPr>
            <sz val="8"/>
            <color indexed="81"/>
            <rFont val="Tahoma"/>
            <family val="2"/>
          </rPr>
          <t xml:space="preserve">
Compulsory Field.
dd.mm.yyyy</t>
        </r>
      </text>
    </comment>
    <comment ref="Y45" authorId="0" shapeId="0">
      <text>
        <r>
          <rPr>
            <b/>
            <sz val="8"/>
            <color indexed="81"/>
            <rFont val="Tahoma"/>
            <family val="2"/>
          </rPr>
          <t>lglasson:</t>
        </r>
        <r>
          <rPr>
            <sz val="8"/>
            <color indexed="81"/>
            <rFont val="Tahoma"/>
            <family val="2"/>
          </rPr>
          <t xml:space="preserve">
Compulsory Field.
dd.mm.yyyy</t>
        </r>
      </text>
    </comment>
    <comment ref="Z45" authorId="0" shapeId="0">
      <text>
        <r>
          <rPr>
            <b/>
            <sz val="8"/>
            <color indexed="81"/>
            <rFont val="Tahoma"/>
            <family val="2"/>
          </rPr>
          <t>lglasson:</t>
        </r>
        <r>
          <rPr>
            <sz val="8"/>
            <color indexed="81"/>
            <rFont val="Tahoma"/>
            <family val="2"/>
          </rPr>
          <t xml:space="preserve">
Compulsory Field.
4 characters</t>
        </r>
      </text>
    </comment>
    <comment ref="AA45" authorId="0" shapeId="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45" authorId="0" shapeId="0">
      <text>
        <r>
          <rPr>
            <b/>
            <sz val="8"/>
            <color indexed="81"/>
            <rFont val="Tahoma"/>
            <family val="2"/>
          </rPr>
          <t>lglasson:</t>
        </r>
        <r>
          <rPr>
            <sz val="8"/>
            <color indexed="81"/>
            <rFont val="Tahoma"/>
            <family val="2"/>
          </rPr>
          <t xml:space="preserve">
Up to 5 characters before numeric point</t>
        </r>
      </text>
    </comment>
    <comment ref="AC45" authorId="0" shapeId="0">
      <text>
        <r>
          <rPr>
            <b/>
            <sz val="8"/>
            <color indexed="81"/>
            <rFont val="Tahoma"/>
            <family val="2"/>
          </rPr>
          <t>lglasson:</t>
        </r>
        <r>
          <rPr>
            <sz val="8"/>
            <color indexed="81"/>
            <rFont val="Tahoma"/>
            <family val="2"/>
          </rPr>
          <t xml:space="preserve">
Inputs are:
Hours
Days
Weeks
Percent
Units
Months</t>
        </r>
      </text>
    </comment>
    <comment ref="A46" authorId="2" shapeId="0">
      <text>
        <r>
          <rPr>
            <b/>
            <sz val="9"/>
            <color indexed="81"/>
            <rFont val="Tahoma"/>
            <family val="2"/>
          </rPr>
          <t>Windows User:</t>
        </r>
        <r>
          <rPr>
            <sz val="9"/>
            <color indexed="81"/>
            <rFont val="Tahoma"/>
            <family val="2"/>
          </rPr>
          <t xml:space="preserve">
capping amount = 23,000,000</t>
        </r>
      </text>
    </comment>
    <comment ref="A60" authorId="2" shapeId="0">
      <text>
        <r>
          <rPr>
            <b/>
            <sz val="9"/>
            <color indexed="81"/>
            <rFont val="Tahoma"/>
            <family val="2"/>
          </rPr>
          <t>Windows User:</t>
        </r>
        <r>
          <rPr>
            <sz val="9"/>
            <color indexed="81"/>
            <rFont val="Tahoma"/>
            <family val="2"/>
          </rPr>
          <t xml:space="preserve">
capping amount = 23,000,000
</t>
        </r>
      </text>
    </comment>
    <comment ref="W61" authorId="0" shapeId="0">
      <text>
        <r>
          <rPr>
            <b/>
            <sz val="8"/>
            <color indexed="81"/>
            <rFont val="Tahoma"/>
            <family val="2"/>
          </rPr>
          <t>lglasson:</t>
        </r>
        <r>
          <rPr>
            <sz val="8"/>
            <color indexed="81"/>
            <rFont val="Tahoma"/>
            <family val="2"/>
          </rPr>
          <t xml:space="preserve">
Compulsory Field.
EE SAP number</t>
        </r>
      </text>
    </comment>
    <comment ref="X61" authorId="0" shapeId="0">
      <text>
        <r>
          <rPr>
            <b/>
            <sz val="8"/>
            <color indexed="81"/>
            <rFont val="Tahoma"/>
            <family val="2"/>
          </rPr>
          <t>lglasson:</t>
        </r>
        <r>
          <rPr>
            <sz val="8"/>
            <color indexed="81"/>
            <rFont val="Tahoma"/>
            <family val="2"/>
          </rPr>
          <t xml:space="preserve">
Compulsory Field.
dd.mm.yyyy</t>
        </r>
      </text>
    </comment>
    <comment ref="Y61" authorId="0" shapeId="0">
      <text>
        <r>
          <rPr>
            <b/>
            <sz val="8"/>
            <color indexed="81"/>
            <rFont val="Tahoma"/>
            <family val="2"/>
          </rPr>
          <t>lglasson:</t>
        </r>
        <r>
          <rPr>
            <sz val="8"/>
            <color indexed="81"/>
            <rFont val="Tahoma"/>
            <family val="2"/>
          </rPr>
          <t xml:space="preserve">
Compulsory Field.
dd.mm.yyyy</t>
        </r>
      </text>
    </comment>
    <comment ref="Z61" authorId="0" shapeId="0">
      <text>
        <r>
          <rPr>
            <b/>
            <sz val="8"/>
            <color indexed="81"/>
            <rFont val="Tahoma"/>
            <family val="2"/>
          </rPr>
          <t>lglasson:</t>
        </r>
        <r>
          <rPr>
            <sz val="8"/>
            <color indexed="81"/>
            <rFont val="Tahoma"/>
            <family val="2"/>
          </rPr>
          <t xml:space="preserve">
Compulsory Field.
4 characters</t>
        </r>
      </text>
    </comment>
    <comment ref="AA61" authorId="0" shapeId="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61" authorId="0" shapeId="0">
      <text>
        <r>
          <rPr>
            <b/>
            <sz val="8"/>
            <color indexed="81"/>
            <rFont val="Tahoma"/>
            <family val="2"/>
          </rPr>
          <t>lglasson:</t>
        </r>
        <r>
          <rPr>
            <sz val="8"/>
            <color indexed="81"/>
            <rFont val="Tahoma"/>
            <family val="2"/>
          </rPr>
          <t xml:space="preserve">
Up to 5 characters before numeric point</t>
        </r>
      </text>
    </comment>
    <comment ref="AC61" authorId="0" shapeId="0">
      <text>
        <r>
          <rPr>
            <b/>
            <sz val="8"/>
            <color indexed="81"/>
            <rFont val="Tahoma"/>
            <family val="2"/>
          </rPr>
          <t>lglasson:</t>
        </r>
        <r>
          <rPr>
            <sz val="8"/>
            <color indexed="81"/>
            <rFont val="Tahoma"/>
            <family val="2"/>
          </rPr>
          <t xml:space="preserve">
Inputs are:
Hours
Days
Weeks
Percent
Units
Months</t>
        </r>
      </text>
    </comment>
    <comment ref="W72" authorId="0" shapeId="0">
      <text>
        <r>
          <rPr>
            <b/>
            <sz val="8"/>
            <color indexed="81"/>
            <rFont val="Tahoma"/>
            <family val="2"/>
          </rPr>
          <t>lglasson:</t>
        </r>
        <r>
          <rPr>
            <sz val="8"/>
            <color indexed="81"/>
            <rFont val="Tahoma"/>
            <family val="2"/>
          </rPr>
          <t xml:space="preserve">
Compulsory Field.
EE SAP number</t>
        </r>
      </text>
    </comment>
    <comment ref="X72" authorId="0" shapeId="0">
      <text>
        <r>
          <rPr>
            <b/>
            <sz val="8"/>
            <color indexed="81"/>
            <rFont val="Tahoma"/>
            <family val="2"/>
          </rPr>
          <t>lglasson:</t>
        </r>
        <r>
          <rPr>
            <sz val="8"/>
            <color indexed="81"/>
            <rFont val="Tahoma"/>
            <family val="2"/>
          </rPr>
          <t xml:space="preserve">
Compulsory Field.
dd.mm.yyyy</t>
        </r>
      </text>
    </comment>
    <comment ref="Y72" authorId="0" shapeId="0">
      <text>
        <r>
          <rPr>
            <b/>
            <sz val="8"/>
            <color indexed="81"/>
            <rFont val="Tahoma"/>
            <family val="2"/>
          </rPr>
          <t>lglasson:</t>
        </r>
        <r>
          <rPr>
            <sz val="8"/>
            <color indexed="81"/>
            <rFont val="Tahoma"/>
            <family val="2"/>
          </rPr>
          <t xml:space="preserve">
Compulsory Field.
dd.mm.yyyy</t>
        </r>
      </text>
    </comment>
    <comment ref="Z72" authorId="0" shapeId="0">
      <text>
        <r>
          <rPr>
            <b/>
            <sz val="8"/>
            <color indexed="81"/>
            <rFont val="Tahoma"/>
            <family val="2"/>
          </rPr>
          <t>lglasson:</t>
        </r>
        <r>
          <rPr>
            <sz val="8"/>
            <color indexed="81"/>
            <rFont val="Tahoma"/>
            <family val="2"/>
          </rPr>
          <t xml:space="preserve">
Compulsory Field.
4 characters</t>
        </r>
      </text>
    </comment>
    <comment ref="AA72" authorId="0" shapeId="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72" authorId="0" shapeId="0">
      <text>
        <r>
          <rPr>
            <b/>
            <sz val="8"/>
            <color indexed="81"/>
            <rFont val="Tahoma"/>
            <family val="2"/>
          </rPr>
          <t>lglasson:</t>
        </r>
        <r>
          <rPr>
            <sz val="8"/>
            <color indexed="81"/>
            <rFont val="Tahoma"/>
            <family val="2"/>
          </rPr>
          <t xml:space="preserve">
Up to 5 characters before numeric point</t>
        </r>
      </text>
    </comment>
    <comment ref="AC72" authorId="0" shapeId="0">
      <text>
        <r>
          <rPr>
            <b/>
            <sz val="8"/>
            <color indexed="81"/>
            <rFont val="Tahoma"/>
            <family val="2"/>
          </rPr>
          <t>lglasson:</t>
        </r>
        <r>
          <rPr>
            <sz val="8"/>
            <color indexed="81"/>
            <rFont val="Tahoma"/>
            <family val="2"/>
          </rPr>
          <t xml:space="preserve">
Inputs are:
Hours
Days
Weeks
Percent
Units
Months</t>
        </r>
      </text>
    </comment>
    <comment ref="H90" authorId="1" shapeId="0">
      <text>
        <r>
          <rPr>
            <b/>
            <sz val="9"/>
            <color indexed="81"/>
            <rFont val="Tahoma"/>
            <family val="2"/>
          </rPr>
          <t>Constant Change for Foreigner EE</t>
        </r>
        <r>
          <rPr>
            <sz val="9"/>
            <color indexed="81"/>
            <rFont val="Tahoma"/>
            <family val="2"/>
          </rPr>
          <t xml:space="preserve">
</t>
        </r>
      </text>
    </comment>
  </commentList>
</comments>
</file>

<file path=xl/comments17.xml><?xml version="1.0" encoding="utf-8"?>
<comments xmlns="http://schemas.openxmlformats.org/spreadsheetml/2006/main">
  <authors>
    <author>Xia, Summer (ESI)</author>
    <author>lglasson</author>
    <author>Windows User</author>
  </authors>
  <commentList>
    <comment ref="D7" authorId="0" shapeId="0">
      <text>
        <r>
          <rPr>
            <b/>
            <sz val="9"/>
            <color indexed="81"/>
            <rFont val="Tahoma"/>
            <family val="2"/>
          </rPr>
          <t>Retro Termination Case</t>
        </r>
        <r>
          <rPr>
            <sz val="9"/>
            <color indexed="81"/>
            <rFont val="Tahoma"/>
            <family val="2"/>
          </rPr>
          <t xml:space="preserve">
</t>
        </r>
      </text>
    </comment>
    <comment ref="J22" authorId="0" shapeId="0">
      <text>
        <r>
          <rPr>
            <b/>
            <sz val="9"/>
            <color indexed="81"/>
            <rFont val="Tahoma"/>
            <family val="2"/>
          </rPr>
          <t>Taxation changed from A to D back from Jan</t>
        </r>
      </text>
    </comment>
    <comment ref="T24" authorId="1" shapeId="0">
      <text>
        <r>
          <rPr>
            <b/>
            <sz val="8"/>
            <color indexed="81"/>
            <rFont val="Tahoma"/>
            <family val="2"/>
          </rPr>
          <t>lglasson:</t>
        </r>
        <r>
          <rPr>
            <sz val="8"/>
            <color indexed="81"/>
            <rFont val="Tahoma"/>
            <family val="2"/>
          </rPr>
          <t xml:space="preserve">
Compulsory Field.
EE SAP number</t>
        </r>
      </text>
    </comment>
    <comment ref="U24" authorId="1" shapeId="0">
      <text>
        <r>
          <rPr>
            <b/>
            <sz val="8"/>
            <color indexed="81"/>
            <rFont val="Tahoma"/>
            <family val="2"/>
          </rPr>
          <t>lglasson:</t>
        </r>
        <r>
          <rPr>
            <sz val="8"/>
            <color indexed="81"/>
            <rFont val="Tahoma"/>
            <family val="2"/>
          </rPr>
          <t xml:space="preserve">
Compulsory Field.
dd.mm.yyyy</t>
        </r>
      </text>
    </comment>
    <comment ref="V24" authorId="1" shapeId="0">
      <text>
        <r>
          <rPr>
            <b/>
            <sz val="8"/>
            <color indexed="81"/>
            <rFont val="Tahoma"/>
            <family val="2"/>
          </rPr>
          <t>lglasson:</t>
        </r>
        <r>
          <rPr>
            <sz val="8"/>
            <color indexed="81"/>
            <rFont val="Tahoma"/>
            <family val="2"/>
          </rPr>
          <t xml:space="preserve">
Compulsory Field.
dd.mm.yyyy</t>
        </r>
      </text>
    </comment>
    <comment ref="W24" authorId="1" shapeId="0">
      <text>
        <r>
          <rPr>
            <b/>
            <sz val="8"/>
            <color indexed="81"/>
            <rFont val="Tahoma"/>
            <family val="2"/>
          </rPr>
          <t>lglasson:</t>
        </r>
        <r>
          <rPr>
            <sz val="8"/>
            <color indexed="81"/>
            <rFont val="Tahoma"/>
            <family val="2"/>
          </rPr>
          <t xml:space="preserve">
Compulsory Field.
4 characters</t>
        </r>
      </text>
    </comment>
    <comment ref="X24" authorId="1" shapeId="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Y24" authorId="1" shapeId="0">
      <text>
        <r>
          <rPr>
            <b/>
            <sz val="8"/>
            <color indexed="81"/>
            <rFont val="Tahoma"/>
            <family val="2"/>
          </rPr>
          <t>lglasson:</t>
        </r>
        <r>
          <rPr>
            <sz val="8"/>
            <color indexed="81"/>
            <rFont val="Tahoma"/>
            <family val="2"/>
          </rPr>
          <t xml:space="preserve">
Up to 5 characters before numeric point</t>
        </r>
      </text>
    </comment>
    <comment ref="Z24" authorId="1" shapeId="0">
      <text>
        <r>
          <rPr>
            <b/>
            <sz val="8"/>
            <color indexed="81"/>
            <rFont val="Tahoma"/>
            <family val="2"/>
          </rPr>
          <t>lglasson:</t>
        </r>
        <r>
          <rPr>
            <sz val="8"/>
            <color indexed="81"/>
            <rFont val="Tahoma"/>
            <family val="2"/>
          </rPr>
          <t xml:space="preserve">
Inputs are:
Hours
Days
Weeks
Percent
Units
Months</t>
        </r>
      </text>
    </comment>
    <comment ref="A27" authorId="1" shapeId="0">
      <text>
        <r>
          <rPr>
            <b/>
            <sz val="8"/>
            <color indexed="81"/>
            <rFont val="Tahoma"/>
            <family val="2"/>
          </rPr>
          <t>lglasson:</t>
        </r>
        <r>
          <rPr>
            <sz val="8"/>
            <color indexed="81"/>
            <rFont val="Tahoma"/>
            <family val="2"/>
          </rPr>
          <t xml:space="preserve">
As per blueprint</t>
        </r>
      </text>
    </comment>
    <comment ref="A44" authorId="1" shapeId="0">
      <text>
        <r>
          <rPr>
            <b/>
            <sz val="8"/>
            <color indexed="81"/>
            <rFont val="Tahoma"/>
            <family val="2"/>
          </rPr>
          <t>lglasson:</t>
        </r>
        <r>
          <rPr>
            <sz val="8"/>
            <color indexed="81"/>
            <rFont val="Tahoma"/>
            <family val="2"/>
          </rPr>
          <t xml:space="preserve">
As per blueprint</t>
        </r>
      </text>
    </comment>
    <comment ref="A45" authorId="2" shapeId="0">
      <text>
        <r>
          <rPr>
            <b/>
            <sz val="9"/>
            <color indexed="81"/>
            <rFont val="Tahoma"/>
            <family val="2"/>
          </rPr>
          <t>Windows User:</t>
        </r>
        <r>
          <rPr>
            <sz val="9"/>
            <color indexed="81"/>
            <rFont val="Tahoma"/>
            <family val="2"/>
          </rPr>
          <t xml:space="preserve">
capping amount = 23,000,000</t>
        </r>
      </text>
    </comment>
    <comment ref="T45" authorId="1" shapeId="0">
      <text>
        <r>
          <rPr>
            <b/>
            <sz val="8"/>
            <color indexed="81"/>
            <rFont val="Tahoma"/>
            <family val="2"/>
          </rPr>
          <t>lglasson:</t>
        </r>
        <r>
          <rPr>
            <sz val="8"/>
            <color indexed="81"/>
            <rFont val="Tahoma"/>
            <family val="2"/>
          </rPr>
          <t xml:space="preserve">
Compulsory Field.
EE SAP number</t>
        </r>
      </text>
    </comment>
    <comment ref="U45" authorId="1" shapeId="0">
      <text>
        <r>
          <rPr>
            <b/>
            <sz val="8"/>
            <color indexed="81"/>
            <rFont val="Tahoma"/>
            <family val="2"/>
          </rPr>
          <t>lglasson:</t>
        </r>
        <r>
          <rPr>
            <sz val="8"/>
            <color indexed="81"/>
            <rFont val="Tahoma"/>
            <family val="2"/>
          </rPr>
          <t xml:space="preserve">
Compulsory Field.
dd.mm.yyyy</t>
        </r>
      </text>
    </comment>
    <comment ref="V45" authorId="1" shapeId="0">
      <text>
        <r>
          <rPr>
            <b/>
            <sz val="8"/>
            <color indexed="81"/>
            <rFont val="Tahoma"/>
            <family val="2"/>
          </rPr>
          <t>lglasson:</t>
        </r>
        <r>
          <rPr>
            <sz val="8"/>
            <color indexed="81"/>
            <rFont val="Tahoma"/>
            <family val="2"/>
          </rPr>
          <t xml:space="preserve">
Compulsory Field.
dd.mm.yyyy</t>
        </r>
      </text>
    </comment>
    <comment ref="W45" authorId="1" shapeId="0">
      <text>
        <r>
          <rPr>
            <b/>
            <sz val="8"/>
            <color indexed="81"/>
            <rFont val="Tahoma"/>
            <family val="2"/>
          </rPr>
          <t>lglasson:</t>
        </r>
        <r>
          <rPr>
            <sz val="8"/>
            <color indexed="81"/>
            <rFont val="Tahoma"/>
            <family val="2"/>
          </rPr>
          <t xml:space="preserve">
Compulsory Field.
4 characters</t>
        </r>
      </text>
    </comment>
    <comment ref="X45" authorId="1" shapeId="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Y45" authorId="1" shapeId="0">
      <text>
        <r>
          <rPr>
            <b/>
            <sz val="8"/>
            <color indexed="81"/>
            <rFont val="Tahoma"/>
            <family val="2"/>
          </rPr>
          <t>lglasson:</t>
        </r>
        <r>
          <rPr>
            <sz val="8"/>
            <color indexed="81"/>
            <rFont val="Tahoma"/>
            <family val="2"/>
          </rPr>
          <t xml:space="preserve">
Up to 5 characters before numeric point</t>
        </r>
      </text>
    </comment>
    <comment ref="Z45" authorId="1" shapeId="0">
      <text>
        <r>
          <rPr>
            <b/>
            <sz val="8"/>
            <color indexed="81"/>
            <rFont val="Tahoma"/>
            <family val="2"/>
          </rPr>
          <t>lglasson:</t>
        </r>
        <r>
          <rPr>
            <sz val="8"/>
            <color indexed="81"/>
            <rFont val="Tahoma"/>
            <family val="2"/>
          </rPr>
          <t xml:space="preserve">
Inputs are:
Hours
Days
Weeks
Percent
Units
Months</t>
        </r>
      </text>
    </comment>
    <comment ref="A59" authorId="2" shapeId="0">
      <text>
        <r>
          <rPr>
            <b/>
            <sz val="9"/>
            <color indexed="81"/>
            <rFont val="Tahoma"/>
            <family val="2"/>
          </rPr>
          <t>Windows User:</t>
        </r>
        <r>
          <rPr>
            <sz val="9"/>
            <color indexed="81"/>
            <rFont val="Tahoma"/>
            <family val="2"/>
          </rPr>
          <t xml:space="preserve">
capping amount = 23,000,000
</t>
        </r>
      </text>
    </comment>
    <comment ref="K78" authorId="0" shapeId="0">
      <text>
        <r>
          <rPr>
            <b/>
            <sz val="9"/>
            <color indexed="81"/>
            <rFont val="Tahoma"/>
            <family val="2"/>
          </rPr>
          <t>Annual OT capped at 200 hours</t>
        </r>
        <r>
          <rPr>
            <sz val="9"/>
            <color indexed="81"/>
            <rFont val="Tahoma"/>
            <family val="2"/>
          </rPr>
          <t xml:space="preserve">
</t>
        </r>
      </text>
    </comment>
    <comment ref="K79" authorId="0" shapeId="0">
      <text>
        <r>
          <rPr>
            <b/>
            <sz val="9"/>
            <color indexed="81"/>
            <rFont val="Tahoma"/>
            <family val="2"/>
          </rPr>
          <t>Annual OT capped at 200 hours</t>
        </r>
        <r>
          <rPr>
            <sz val="9"/>
            <color indexed="81"/>
            <rFont val="Tahoma"/>
            <family val="2"/>
          </rPr>
          <t xml:space="preserve">
</t>
        </r>
      </text>
    </comment>
  </commentList>
</comments>
</file>

<file path=xl/comments18.xml><?xml version="1.0" encoding="utf-8"?>
<comments xmlns="http://schemas.openxmlformats.org/spreadsheetml/2006/main">
  <authors>
    <author>Xia, Summer (ESI)</author>
    <author>lglasson</author>
    <author>Windows User</author>
  </authors>
  <commentList>
    <comment ref="B7" authorId="0" shapeId="0">
      <text>
        <r>
          <rPr>
            <b/>
            <sz val="9"/>
            <color indexed="81"/>
            <rFont val="Tahoma"/>
            <family val="2"/>
          </rPr>
          <t>Retro Salary Increase for WT3113 testing</t>
        </r>
        <r>
          <rPr>
            <sz val="9"/>
            <color indexed="81"/>
            <rFont val="Tahoma"/>
            <family val="2"/>
          </rPr>
          <t xml:space="preserve">
</t>
        </r>
      </text>
    </comment>
    <comment ref="G7" authorId="0" shapeId="0">
      <text>
        <r>
          <rPr>
            <b/>
            <sz val="9"/>
            <color indexed="81"/>
            <rFont val="Tahoma"/>
            <family val="2"/>
          </rPr>
          <t>Terminated in Jan for testing of current year WT3113 accumulation payout</t>
        </r>
        <r>
          <rPr>
            <sz val="9"/>
            <color indexed="81"/>
            <rFont val="Tahoma"/>
            <family val="2"/>
          </rPr>
          <t xml:space="preserve">
</t>
        </r>
      </text>
    </comment>
    <comment ref="A25" authorId="1" shapeId="0">
      <text>
        <r>
          <rPr>
            <b/>
            <sz val="8"/>
            <color indexed="81"/>
            <rFont val="Tahoma"/>
            <family val="2"/>
          </rPr>
          <t>lglasson:</t>
        </r>
        <r>
          <rPr>
            <sz val="8"/>
            <color indexed="81"/>
            <rFont val="Tahoma"/>
            <family val="2"/>
          </rPr>
          <t xml:space="preserve">
As per blueprint</t>
        </r>
      </text>
    </comment>
    <comment ref="S25" authorId="1" shapeId="0">
      <text>
        <r>
          <rPr>
            <b/>
            <sz val="8"/>
            <color indexed="81"/>
            <rFont val="Tahoma"/>
            <family val="2"/>
          </rPr>
          <t>lglasson:</t>
        </r>
        <r>
          <rPr>
            <sz val="8"/>
            <color indexed="81"/>
            <rFont val="Tahoma"/>
            <family val="2"/>
          </rPr>
          <t xml:space="preserve">
Compulsory Field.
EE SAP number</t>
        </r>
      </text>
    </comment>
    <comment ref="T25" authorId="1" shapeId="0">
      <text>
        <r>
          <rPr>
            <b/>
            <sz val="8"/>
            <color indexed="81"/>
            <rFont val="Tahoma"/>
            <family val="2"/>
          </rPr>
          <t>lglasson:</t>
        </r>
        <r>
          <rPr>
            <sz val="8"/>
            <color indexed="81"/>
            <rFont val="Tahoma"/>
            <family val="2"/>
          </rPr>
          <t xml:space="preserve">
Compulsory Field.
dd.mm.yyyy</t>
        </r>
      </text>
    </comment>
    <comment ref="U25" authorId="1" shapeId="0">
      <text>
        <r>
          <rPr>
            <b/>
            <sz val="8"/>
            <color indexed="81"/>
            <rFont val="Tahoma"/>
            <family val="2"/>
          </rPr>
          <t>lglasson:</t>
        </r>
        <r>
          <rPr>
            <sz val="8"/>
            <color indexed="81"/>
            <rFont val="Tahoma"/>
            <family val="2"/>
          </rPr>
          <t xml:space="preserve">
Compulsory Field.
dd.mm.yyyy</t>
        </r>
      </text>
    </comment>
    <comment ref="V25" authorId="1" shapeId="0">
      <text>
        <r>
          <rPr>
            <b/>
            <sz val="8"/>
            <color indexed="81"/>
            <rFont val="Tahoma"/>
            <family val="2"/>
          </rPr>
          <t>lglasson:</t>
        </r>
        <r>
          <rPr>
            <sz val="8"/>
            <color indexed="81"/>
            <rFont val="Tahoma"/>
            <family val="2"/>
          </rPr>
          <t xml:space="preserve">
Compulsory Field.
4 characters</t>
        </r>
      </text>
    </comment>
    <comment ref="W25" authorId="1" shapeId="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X25" authorId="1" shapeId="0">
      <text>
        <r>
          <rPr>
            <b/>
            <sz val="8"/>
            <color indexed="81"/>
            <rFont val="Tahoma"/>
            <family val="2"/>
          </rPr>
          <t>lglasson:</t>
        </r>
        <r>
          <rPr>
            <sz val="8"/>
            <color indexed="81"/>
            <rFont val="Tahoma"/>
            <family val="2"/>
          </rPr>
          <t xml:space="preserve">
Up to 5 characters before numeric point</t>
        </r>
      </text>
    </comment>
    <comment ref="Y25" authorId="1" shapeId="0">
      <text>
        <r>
          <rPr>
            <b/>
            <sz val="8"/>
            <color indexed="81"/>
            <rFont val="Tahoma"/>
            <family val="2"/>
          </rPr>
          <t>lglasson:</t>
        </r>
        <r>
          <rPr>
            <sz val="8"/>
            <color indexed="81"/>
            <rFont val="Tahoma"/>
            <family val="2"/>
          </rPr>
          <t xml:space="preserve">
Inputs are:
Hours
Days
Weeks
Percent
Units
Months</t>
        </r>
      </text>
    </comment>
    <comment ref="B33" authorId="0" shapeId="0">
      <text>
        <r>
          <rPr>
            <b/>
            <sz val="9"/>
            <color indexed="81"/>
            <rFont val="Tahoma"/>
            <family val="2"/>
          </rPr>
          <t>Retro calculated WT9113 is added</t>
        </r>
        <r>
          <rPr>
            <sz val="9"/>
            <color indexed="81"/>
            <rFont val="Tahoma"/>
            <family val="2"/>
          </rPr>
          <t xml:space="preserve">
</t>
        </r>
      </text>
    </comment>
    <comment ref="A42" authorId="1" shapeId="0">
      <text>
        <r>
          <rPr>
            <b/>
            <sz val="8"/>
            <color indexed="81"/>
            <rFont val="Tahoma"/>
            <family val="2"/>
          </rPr>
          <t>lglasson:</t>
        </r>
        <r>
          <rPr>
            <sz val="8"/>
            <color indexed="81"/>
            <rFont val="Tahoma"/>
            <family val="2"/>
          </rPr>
          <t xml:space="preserve">
As per blueprint</t>
        </r>
      </text>
    </comment>
    <comment ref="A43" authorId="2" shapeId="0">
      <text>
        <r>
          <rPr>
            <b/>
            <sz val="9"/>
            <color indexed="81"/>
            <rFont val="Tahoma"/>
            <family val="2"/>
          </rPr>
          <t>Windows User:</t>
        </r>
        <r>
          <rPr>
            <sz val="9"/>
            <color indexed="81"/>
            <rFont val="Tahoma"/>
            <family val="2"/>
          </rPr>
          <t xml:space="preserve">
capping amount = 23,000,000</t>
        </r>
      </text>
    </comment>
    <comment ref="G44" authorId="0" shapeId="0">
      <text>
        <r>
          <rPr>
            <b/>
            <sz val="9"/>
            <color indexed="81"/>
            <rFont val="Tahoma"/>
            <family val="2"/>
          </rPr>
          <t>New cap for UI is used</t>
        </r>
        <r>
          <rPr>
            <sz val="9"/>
            <color indexed="81"/>
            <rFont val="Tahoma"/>
            <family val="2"/>
          </rPr>
          <t xml:space="preserve">
</t>
        </r>
      </text>
    </comment>
    <comment ref="S49" authorId="1" shapeId="0">
      <text>
        <r>
          <rPr>
            <b/>
            <sz val="8"/>
            <color indexed="81"/>
            <rFont val="Tahoma"/>
            <family val="2"/>
          </rPr>
          <t>lglasson:</t>
        </r>
        <r>
          <rPr>
            <sz val="8"/>
            <color indexed="81"/>
            <rFont val="Tahoma"/>
            <family val="2"/>
          </rPr>
          <t xml:space="preserve">
Compulsory Field.
EE SAP number</t>
        </r>
      </text>
    </comment>
    <comment ref="T49" authorId="1" shapeId="0">
      <text>
        <r>
          <rPr>
            <b/>
            <sz val="8"/>
            <color indexed="81"/>
            <rFont val="Tahoma"/>
            <family val="2"/>
          </rPr>
          <t>lglasson:</t>
        </r>
        <r>
          <rPr>
            <sz val="8"/>
            <color indexed="81"/>
            <rFont val="Tahoma"/>
            <family val="2"/>
          </rPr>
          <t xml:space="preserve">
Compulsory Field.
dd.mm.yyyy</t>
        </r>
      </text>
    </comment>
    <comment ref="U49" authorId="1" shapeId="0">
      <text>
        <r>
          <rPr>
            <b/>
            <sz val="8"/>
            <color indexed="81"/>
            <rFont val="Tahoma"/>
            <family val="2"/>
          </rPr>
          <t>lglasson:</t>
        </r>
        <r>
          <rPr>
            <sz val="8"/>
            <color indexed="81"/>
            <rFont val="Tahoma"/>
            <family val="2"/>
          </rPr>
          <t xml:space="preserve">
Compulsory Field.
dd.mm.yyyy</t>
        </r>
      </text>
    </comment>
    <comment ref="V49" authorId="1" shapeId="0">
      <text>
        <r>
          <rPr>
            <b/>
            <sz val="8"/>
            <color indexed="81"/>
            <rFont val="Tahoma"/>
            <family val="2"/>
          </rPr>
          <t>lglasson:</t>
        </r>
        <r>
          <rPr>
            <sz val="8"/>
            <color indexed="81"/>
            <rFont val="Tahoma"/>
            <family val="2"/>
          </rPr>
          <t xml:space="preserve">
Compulsory Field.
4 characters</t>
        </r>
      </text>
    </comment>
    <comment ref="W49" authorId="1" shapeId="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X49" authorId="1" shapeId="0">
      <text>
        <r>
          <rPr>
            <b/>
            <sz val="8"/>
            <color indexed="81"/>
            <rFont val="Tahoma"/>
            <family val="2"/>
          </rPr>
          <t>lglasson:</t>
        </r>
        <r>
          <rPr>
            <sz val="8"/>
            <color indexed="81"/>
            <rFont val="Tahoma"/>
            <family val="2"/>
          </rPr>
          <t xml:space="preserve">
Up to 5 characters before numeric point</t>
        </r>
      </text>
    </comment>
    <comment ref="Y49" authorId="1" shapeId="0">
      <text>
        <r>
          <rPr>
            <b/>
            <sz val="8"/>
            <color indexed="81"/>
            <rFont val="Tahoma"/>
            <family val="2"/>
          </rPr>
          <t>lglasson:</t>
        </r>
        <r>
          <rPr>
            <sz val="8"/>
            <color indexed="81"/>
            <rFont val="Tahoma"/>
            <family val="2"/>
          </rPr>
          <t xml:space="preserve">
Inputs are:
Hours
Days
Weeks
Percent
Units
Months</t>
        </r>
      </text>
    </comment>
    <comment ref="A56" authorId="2" shapeId="0">
      <text>
        <r>
          <rPr>
            <b/>
            <sz val="9"/>
            <color indexed="81"/>
            <rFont val="Tahoma"/>
            <family val="2"/>
          </rPr>
          <t>Windows User:</t>
        </r>
        <r>
          <rPr>
            <sz val="9"/>
            <color indexed="81"/>
            <rFont val="Tahoma"/>
            <family val="2"/>
          </rPr>
          <t xml:space="preserve">
capping amount = 23,000,000
</t>
        </r>
      </text>
    </comment>
    <comment ref="G62" authorId="0" shapeId="0">
      <text>
        <r>
          <rPr>
            <b/>
            <sz val="9"/>
            <color indexed="81"/>
            <rFont val="Tahoma"/>
            <family val="2"/>
          </rPr>
          <t>WT9113 is nullified due to payout of WT3113 in current year</t>
        </r>
        <r>
          <rPr>
            <sz val="9"/>
            <color indexed="81"/>
            <rFont val="Tahoma"/>
            <family val="2"/>
          </rPr>
          <t xml:space="preserve">
</t>
        </r>
      </text>
    </comment>
    <comment ref="D112" authorId="0" shapeId="0">
      <text>
        <r>
          <rPr>
            <b/>
            <sz val="9"/>
            <color indexed="81"/>
            <rFont val="Tahoma"/>
            <family val="2"/>
          </rPr>
          <t>Overused AL quota balance will be deducted from new entitlement</t>
        </r>
        <r>
          <rPr>
            <sz val="9"/>
            <color indexed="81"/>
            <rFont val="Tahoma"/>
            <family val="2"/>
          </rPr>
          <t xml:space="preserve">
</t>
        </r>
      </text>
    </comment>
    <comment ref="D151" authorId="0" shapeId="0">
      <text>
        <r>
          <rPr>
            <b/>
            <sz val="9"/>
            <color indexed="81"/>
            <rFont val="Tahoma"/>
            <family val="2"/>
          </rPr>
          <t>In rehire case, system will use actual worked months for annual average taxable income calculation</t>
        </r>
      </text>
    </comment>
  </commentList>
</comments>
</file>

<file path=xl/comments2.xml><?xml version="1.0" encoding="utf-8"?>
<comments xmlns="http://schemas.openxmlformats.org/spreadsheetml/2006/main">
  <authors>
    <author>Windows User</author>
  </authors>
  <commentList>
    <comment ref="F6" authorId="0" shapeId="0">
      <text>
        <r>
          <rPr>
            <b/>
            <sz val="9"/>
            <color indexed="81"/>
            <rFont val="Tahoma"/>
            <family val="2"/>
          </rPr>
          <t>See Drop Down:</t>
        </r>
        <r>
          <rPr>
            <sz val="9"/>
            <color indexed="81"/>
            <rFont val="Tahoma"/>
            <family val="2"/>
          </rPr>
          <t xml:space="preserve">
Config
Clarification
New Request CR
Master Data
Other</t>
        </r>
      </text>
    </comment>
    <comment ref="G6" authorId="0" shapeId="0">
      <text>
        <r>
          <rPr>
            <b/>
            <sz val="9"/>
            <color indexed="81"/>
            <rFont val="Tahoma"/>
            <family val="2"/>
          </rPr>
          <t>See Drop Down:</t>
        </r>
        <r>
          <rPr>
            <sz val="9"/>
            <color indexed="81"/>
            <rFont val="Tahoma"/>
            <family val="2"/>
          </rPr>
          <t xml:space="preserve">
Open
Closed</t>
        </r>
      </text>
    </comment>
  </commentList>
</comments>
</file>

<file path=xl/comments3.xml><?xml version="1.0" encoding="utf-8"?>
<comments xmlns="http://schemas.openxmlformats.org/spreadsheetml/2006/main">
  <authors>
    <author>Windows User</author>
  </authors>
  <commentList>
    <comment ref="E6" authorId="0" shapeId="0">
      <text>
        <r>
          <rPr>
            <b/>
            <sz val="9"/>
            <color indexed="81"/>
            <rFont val="Tahoma"/>
            <family val="2"/>
          </rPr>
          <t>Windows User:</t>
        </r>
        <r>
          <rPr>
            <sz val="9"/>
            <color indexed="81"/>
            <rFont val="Tahoma"/>
            <family val="2"/>
          </rPr>
          <t xml:space="preserve">
GV ID</t>
        </r>
      </text>
    </comment>
    <comment ref="D7" authorId="0" shapeId="0">
      <text>
        <r>
          <rPr>
            <b/>
            <sz val="9"/>
            <color indexed="81"/>
            <rFont val="Tahoma"/>
            <family val="2"/>
          </rPr>
          <t>see Drop Down:</t>
        </r>
        <r>
          <rPr>
            <sz val="9"/>
            <color indexed="81"/>
            <rFont val="Tahoma"/>
            <family val="2"/>
          </rPr>
          <t xml:space="preserve">
MD - Master Data
TRN - Transactional
ERInf-Accr - ER Info/Accrual
RPT - Report</t>
        </r>
      </text>
    </comment>
    <comment ref="E7" authorId="0" shapeId="0">
      <text>
        <r>
          <rPr>
            <b/>
            <sz val="9"/>
            <color indexed="81"/>
            <rFont val="Tahoma"/>
            <family val="2"/>
          </rPr>
          <t>Windows User:</t>
        </r>
        <r>
          <rPr>
            <sz val="9"/>
            <color indexed="81"/>
            <rFont val="Tahoma"/>
            <family val="2"/>
          </rPr>
          <t xml:space="preserve">
IT 0709  Global ID
</t>
        </r>
      </text>
    </comment>
    <comment ref="B45" authorId="0" shapeId="0">
      <text>
        <r>
          <rPr>
            <sz val="9"/>
            <color indexed="81"/>
            <rFont val="Tahoma"/>
            <family val="2"/>
          </rPr>
          <t>Average salary?  retro back to the last year or previous 12 month to see whether the “for period” or “in period” is selected for average salary calculation.</t>
        </r>
      </text>
    </comment>
    <comment ref="B53" authorId="0" shapeId="0">
      <text>
        <r>
          <rPr>
            <sz val="9"/>
            <color indexed="81"/>
            <rFont val="Tahoma"/>
            <family val="2"/>
          </rPr>
          <t>1)EE has org transfer in the middle of the pervious month and also current month, to check if  basic salary is doubled.
2)EE has org transfer in the middle of the pervious month and again in current month, and EE took maternatity leave from previous month  (especially on 15th and 16th), check the SUM which should be no contribution. (Retro org transfer with Maternity leave on 15th/16th) 
3)New hire EE has org  transfer in the new hire month, to check if  basic salary is doubled.</t>
        </r>
      </text>
    </comment>
    <comment ref="B68" authorId="0" shapeId="0">
      <text>
        <r>
          <rPr>
            <sz val="9"/>
            <color indexed="81"/>
            <rFont val="Tahoma"/>
            <family val="2"/>
          </rPr>
          <t xml:space="preserve">Check Transfer EE </t>
        </r>
      </text>
    </comment>
  </commentList>
</comments>
</file>

<file path=xl/comments4.xml><?xml version="1.0" encoding="utf-8"?>
<comments xmlns="http://schemas.openxmlformats.org/spreadsheetml/2006/main">
  <authors>
    <author>Windows User</author>
  </authors>
  <commentList>
    <comment ref="C5" authorId="0" shapeId="0">
      <text>
        <r>
          <rPr>
            <b/>
            <sz val="9"/>
            <color indexed="81"/>
            <rFont val="Tahoma"/>
            <family val="2"/>
          </rPr>
          <t>See Drop Down List:</t>
        </r>
        <r>
          <rPr>
            <sz val="9"/>
            <color indexed="81"/>
            <rFont val="Tahoma"/>
            <family val="2"/>
          </rPr>
          <t xml:space="preserve">
0008
0014
0015
0267
0416
2001
2010
Auto Generate</t>
        </r>
      </text>
    </comment>
    <comment ref="D5" authorId="0" shapeId="0">
      <text>
        <r>
          <rPr>
            <b/>
            <sz val="9"/>
            <color indexed="81"/>
            <rFont val="Tahoma"/>
            <family val="2"/>
          </rPr>
          <t>See Drop Down:</t>
        </r>
        <r>
          <rPr>
            <sz val="9"/>
            <color indexed="81"/>
            <rFont val="Tahoma"/>
            <family val="2"/>
          </rPr>
          <t xml:space="preserve">
Payment
Deduction
Notational
Paid Leave
Unpaid Leave
Override
ER Contribution
EE Contribution
Attendance</t>
        </r>
      </text>
    </comment>
  </commentList>
</comments>
</file>

<file path=xl/comments5.xml><?xml version="1.0" encoding="utf-8"?>
<comments xmlns="http://schemas.openxmlformats.org/spreadsheetml/2006/main">
  <authors>
    <author>lglasson</author>
    <author>Windows User</author>
    <author>Xia, Summer (ESI)</author>
    <author>charley</author>
  </authors>
  <commentList>
    <comment ref="B6" authorId="0" shapeId="0">
      <text>
        <r>
          <rPr>
            <b/>
            <sz val="8"/>
            <color indexed="81"/>
            <rFont val="Tahoma"/>
            <family val="2"/>
          </rPr>
          <t>lglasson:</t>
        </r>
        <r>
          <rPr>
            <sz val="8"/>
            <color indexed="81"/>
            <rFont val="Tahoma"/>
            <family val="2"/>
          </rPr>
          <t xml:space="preserve">
Recommend starting at 28000001</t>
        </r>
      </text>
    </comment>
    <comment ref="B7" authorId="0" shapeId="0">
      <text>
        <r>
          <rPr>
            <b/>
            <sz val="8"/>
            <color indexed="81"/>
            <rFont val="Tahoma"/>
            <family val="2"/>
          </rPr>
          <t>lglasson:</t>
        </r>
        <r>
          <rPr>
            <sz val="8"/>
            <color indexed="81"/>
            <rFont val="Tahoma"/>
            <family val="2"/>
          </rPr>
          <t xml:space="preserve">
dd.mm.yyyy</t>
        </r>
      </text>
    </comment>
    <comment ref="B8" authorId="0" shapeId="0">
      <text>
        <r>
          <rPr>
            <b/>
            <sz val="8"/>
            <color indexed="81"/>
            <rFont val="Tahoma"/>
            <family val="2"/>
          </rPr>
          <t>lglasson:</t>
        </r>
        <r>
          <rPr>
            <sz val="8"/>
            <color indexed="81"/>
            <rFont val="Tahoma"/>
            <family val="2"/>
          </rPr>
          <t xml:space="preserve">
4 characters</t>
        </r>
      </text>
    </comment>
    <comment ref="B9" authorId="0" shapeId="0">
      <text>
        <r>
          <rPr>
            <b/>
            <sz val="8"/>
            <color indexed="81"/>
            <rFont val="Tahoma"/>
            <family val="2"/>
          </rPr>
          <t>lglasson:</t>
        </r>
        <r>
          <rPr>
            <sz val="8"/>
            <color indexed="81"/>
            <rFont val="Tahoma"/>
            <family val="2"/>
          </rPr>
          <t xml:space="preserve">
4 characters</t>
        </r>
      </text>
    </comment>
    <comment ref="B10" authorId="0" shapeId="0">
      <text>
        <r>
          <rPr>
            <b/>
            <sz val="8"/>
            <color indexed="81"/>
            <rFont val="Tahoma"/>
            <family val="2"/>
          </rPr>
          <t>lglasson:</t>
        </r>
        <r>
          <rPr>
            <sz val="8"/>
            <color indexed="81"/>
            <rFont val="Tahoma"/>
            <family val="2"/>
          </rPr>
          <t xml:space="preserve">
1 character</t>
        </r>
      </text>
    </comment>
    <comment ref="B11" authorId="0" shapeId="0">
      <text>
        <r>
          <rPr>
            <b/>
            <sz val="8"/>
            <color indexed="81"/>
            <rFont val="Tahoma"/>
            <family val="2"/>
          </rPr>
          <t>lglasson:</t>
        </r>
        <r>
          <rPr>
            <sz val="8"/>
            <color indexed="81"/>
            <rFont val="Tahoma"/>
            <family val="2"/>
          </rPr>
          <t xml:space="preserve">
2 characters</t>
        </r>
      </text>
    </comment>
    <comment ref="B12" authorId="0" shapeId="0">
      <text>
        <r>
          <rPr>
            <b/>
            <sz val="8"/>
            <color indexed="81"/>
            <rFont val="Tahoma"/>
            <family val="2"/>
          </rPr>
          <t>lglasson:</t>
        </r>
        <r>
          <rPr>
            <sz val="8"/>
            <color indexed="81"/>
            <rFont val="Tahoma"/>
            <family val="2"/>
          </rPr>
          <t xml:space="preserve">
4 characters</t>
        </r>
      </text>
    </comment>
    <comment ref="B13" authorId="0" shapeId="0">
      <text>
        <r>
          <rPr>
            <b/>
            <sz val="8"/>
            <color indexed="81"/>
            <rFont val="Tahoma"/>
            <family val="2"/>
          </rPr>
          <t>lglasson:</t>
        </r>
        <r>
          <rPr>
            <sz val="8"/>
            <color indexed="81"/>
            <rFont val="Tahoma"/>
            <family val="2"/>
          </rPr>
          <t xml:space="preserve">
2 characters</t>
        </r>
      </text>
    </comment>
    <comment ref="B14" authorId="0" shapeId="0">
      <text>
        <r>
          <rPr>
            <b/>
            <sz val="8"/>
            <color indexed="81"/>
            <rFont val="Tahoma"/>
            <family val="2"/>
          </rPr>
          <t>lglasson:</t>
        </r>
        <r>
          <rPr>
            <sz val="8"/>
            <color indexed="81"/>
            <rFont val="Tahoma"/>
            <family val="2"/>
          </rPr>
          <t xml:space="preserve">
Enter default 999999999</t>
        </r>
      </text>
    </comment>
    <comment ref="B15" authorId="0" shapeId="0">
      <text>
        <r>
          <rPr>
            <b/>
            <sz val="8"/>
            <color indexed="81"/>
            <rFont val="Tahoma"/>
            <family val="2"/>
          </rPr>
          <t>lglasson:</t>
        </r>
        <r>
          <rPr>
            <sz val="8"/>
            <color indexed="81"/>
            <rFont val="Tahoma"/>
            <family val="2"/>
          </rPr>
          <t xml:space="preserve">
Enter Mr, Mrs, Miss or Ms</t>
        </r>
      </text>
    </comment>
    <comment ref="B16" authorId="0" shapeId="0">
      <text>
        <r>
          <rPr>
            <b/>
            <sz val="8"/>
            <color indexed="81"/>
            <rFont val="Tahoma"/>
            <family val="2"/>
          </rPr>
          <t>lglasson:</t>
        </r>
        <r>
          <rPr>
            <sz val="8"/>
            <color indexed="81"/>
            <rFont val="Tahoma"/>
            <family val="2"/>
          </rPr>
          <t xml:space="preserve">
User specific</t>
        </r>
      </text>
    </comment>
    <comment ref="B17" authorId="0" shapeId="0">
      <text>
        <r>
          <rPr>
            <b/>
            <sz val="8"/>
            <color indexed="81"/>
            <rFont val="Tahoma"/>
            <family val="2"/>
          </rPr>
          <t>lglasson:</t>
        </r>
        <r>
          <rPr>
            <sz val="8"/>
            <color indexed="81"/>
            <rFont val="Tahoma"/>
            <family val="2"/>
          </rPr>
          <t xml:space="preserve">
User specific</t>
        </r>
      </text>
    </comment>
    <comment ref="B18" authorId="0" shapeId="0">
      <text>
        <r>
          <rPr>
            <b/>
            <sz val="8"/>
            <color indexed="81"/>
            <rFont val="Tahoma"/>
            <family val="2"/>
          </rPr>
          <t>lglasson:</t>
        </r>
        <r>
          <rPr>
            <sz val="8"/>
            <color indexed="81"/>
            <rFont val="Tahoma"/>
            <family val="2"/>
          </rPr>
          <t xml:space="preserve">
Enter "F" for Female or "M" for Male</t>
        </r>
      </text>
    </comment>
    <comment ref="B19" authorId="0" shapeId="0">
      <text>
        <r>
          <rPr>
            <b/>
            <sz val="8"/>
            <color indexed="81"/>
            <rFont val="Tahoma"/>
            <family val="2"/>
          </rPr>
          <t>lglasson:</t>
        </r>
        <r>
          <rPr>
            <sz val="8"/>
            <color indexed="81"/>
            <rFont val="Tahoma"/>
            <family val="2"/>
          </rPr>
          <t xml:space="preserve">
Recommended date for UAT testing is 11.05.1968</t>
        </r>
      </text>
    </comment>
    <comment ref="B20" authorId="0" shapeId="0">
      <text>
        <r>
          <rPr>
            <b/>
            <sz val="8"/>
            <color indexed="81"/>
            <rFont val="Tahoma"/>
            <family val="2"/>
          </rPr>
          <t>lglasson:</t>
        </r>
        <r>
          <rPr>
            <sz val="8"/>
            <color indexed="81"/>
            <rFont val="Tahoma"/>
            <family val="2"/>
          </rPr>
          <t xml:space="preserve">
2 characters.  Example:
CN - Chinese
MY - Malaysian
SG - Singaporean</t>
        </r>
      </text>
    </comment>
    <comment ref="B21" authorId="0" shapeId="0">
      <text>
        <r>
          <rPr>
            <b/>
            <sz val="8"/>
            <color indexed="81"/>
            <rFont val="Tahoma"/>
            <family val="2"/>
          </rPr>
          <t>lglasson:</t>
        </r>
        <r>
          <rPr>
            <sz val="8"/>
            <color indexed="81"/>
            <rFont val="Tahoma"/>
            <family val="2"/>
          </rPr>
          <t xml:space="preserve">
Possible entries available:
1 - Permanent Residence
3 - Home Address
5 - Mailing Address</t>
        </r>
      </text>
    </comment>
    <comment ref="B22" authorId="0" shapeId="0">
      <text>
        <r>
          <rPr>
            <b/>
            <sz val="8"/>
            <color indexed="81"/>
            <rFont val="Tahoma"/>
            <family val="2"/>
          </rPr>
          <t>lglasson:</t>
        </r>
        <r>
          <rPr>
            <sz val="8"/>
            <color indexed="81"/>
            <rFont val="Tahoma"/>
            <family val="2"/>
          </rPr>
          <t xml:space="preserve">
User Specific</t>
        </r>
      </text>
    </comment>
    <comment ref="B23" authorId="0" shapeId="0">
      <text>
        <r>
          <rPr>
            <b/>
            <sz val="8"/>
            <color indexed="81"/>
            <rFont val="Tahoma"/>
            <family val="2"/>
          </rPr>
          <t>lglasson:</t>
        </r>
        <r>
          <rPr>
            <sz val="8"/>
            <color indexed="81"/>
            <rFont val="Tahoma"/>
            <family val="2"/>
          </rPr>
          <t xml:space="preserve">
7 or 8 characters</t>
        </r>
      </text>
    </comment>
    <comment ref="B25" authorId="0" shapeId="0">
      <text>
        <r>
          <rPr>
            <b/>
            <sz val="8"/>
            <color indexed="81"/>
            <rFont val="Tahoma"/>
            <family val="2"/>
          </rPr>
          <t xml:space="preserve">lglasson:
</t>
        </r>
        <r>
          <rPr>
            <sz val="8"/>
            <color indexed="81"/>
            <rFont val="Tahoma"/>
            <family val="2"/>
          </rPr>
          <t xml:space="preserve">1 character.  Common options are:
0 - No Time Eval
7 - Time eval with IT2006
</t>
        </r>
      </text>
    </comment>
    <comment ref="B27" authorId="1" shapeId="0">
      <text>
        <r>
          <rPr>
            <sz val="9"/>
            <color indexed="81"/>
            <rFont val="Tahoma"/>
            <family val="2"/>
          </rPr>
          <t>Global ID ie Legacy EE No. Will appear on EE payslip usually</t>
        </r>
      </text>
    </comment>
    <comment ref="C27" authorId="1" shapeId="0">
      <text>
        <r>
          <rPr>
            <b/>
            <sz val="9"/>
            <color indexed="81"/>
            <rFont val="Tahoma"/>
            <family val="2"/>
          </rPr>
          <t>Windows User:</t>
        </r>
        <r>
          <rPr>
            <sz val="9"/>
            <color indexed="81"/>
            <rFont val="Tahoma"/>
            <family val="2"/>
          </rPr>
          <t xml:space="preserve">
IT 0709  Global ID
</t>
        </r>
      </text>
    </comment>
    <comment ref="B28" authorId="0" shapeId="0">
      <text>
        <r>
          <rPr>
            <b/>
            <sz val="8"/>
            <color indexed="81"/>
            <rFont val="Tahoma"/>
            <family val="2"/>
          </rPr>
          <t>lglasson:</t>
        </r>
        <r>
          <rPr>
            <sz val="8"/>
            <color indexed="81"/>
            <rFont val="Tahoma"/>
            <family val="2"/>
          </rPr>
          <t xml:space="preserve">
Client Specific</t>
        </r>
      </text>
    </comment>
    <comment ref="B31" authorId="0" shapeId="0">
      <text>
        <r>
          <rPr>
            <b/>
            <sz val="8"/>
            <color indexed="81"/>
            <rFont val="Tahoma"/>
            <family val="2"/>
          </rPr>
          <t>lglasson:</t>
        </r>
        <r>
          <rPr>
            <sz val="8"/>
            <color indexed="81"/>
            <rFont val="Tahoma"/>
            <family val="2"/>
          </rPr>
          <t xml:space="preserve">
4 characters</t>
        </r>
      </text>
    </comment>
    <comment ref="B32" authorId="0" shapeId="0">
      <text>
        <r>
          <rPr>
            <b/>
            <sz val="8"/>
            <color indexed="81"/>
            <rFont val="Tahoma"/>
            <family val="2"/>
          </rPr>
          <t>lglasson:</t>
        </r>
        <r>
          <rPr>
            <sz val="8"/>
            <color indexed="81"/>
            <rFont val="Tahoma"/>
            <family val="2"/>
          </rPr>
          <t xml:space="preserve">
up to 12 characters before decimal point</t>
        </r>
      </text>
    </comment>
    <comment ref="H32" authorId="2" shapeId="0">
      <text>
        <r>
          <rPr>
            <sz val="9"/>
            <color indexed="81"/>
            <rFont val="Tahoma"/>
            <family val="2"/>
          </rPr>
          <t xml:space="preserve">USD
</t>
        </r>
      </text>
    </comment>
    <comment ref="I32" authorId="2" shapeId="0">
      <text>
        <r>
          <rPr>
            <b/>
            <sz val="9"/>
            <color indexed="81"/>
            <rFont val="Tahoma"/>
            <family val="2"/>
          </rPr>
          <t>USD</t>
        </r>
      </text>
    </comment>
    <comment ref="J32" authorId="2" shapeId="0">
      <text>
        <r>
          <rPr>
            <b/>
            <sz val="9"/>
            <color indexed="81"/>
            <rFont val="Tahoma"/>
            <family val="2"/>
          </rPr>
          <t>USD</t>
        </r>
      </text>
    </comment>
    <comment ref="B33" authorId="0" shapeId="0">
      <text>
        <r>
          <rPr>
            <b/>
            <sz val="8"/>
            <color indexed="81"/>
            <rFont val="Tahoma"/>
            <family val="2"/>
          </rPr>
          <t>lglasson:</t>
        </r>
        <r>
          <rPr>
            <sz val="8"/>
            <color indexed="81"/>
            <rFont val="Tahoma"/>
            <family val="2"/>
          </rPr>
          <t xml:space="preserve">
4 characters</t>
        </r>
      </text>
    </comment>
    <comment ref="B34" authorId="0" shapeId="0">
      <text>
        <r>
          <rPr>
            <b/>
            <sz val="8"/>
            <color indexed="81"/>
            <rFont val="Tahoma"/>
            <family val="2"/>
          </rPr>
          <t>lglasson:</t>
        </r>
        <r>
          <rPr>
            <sz val="8"/>
            <color indexed="81"/>
            <rFont val="Tahoma"/>
            <family val="2"/>
          </rPr>
          <t xml:space="preserve">
up to 12 characters before decimal point</t>
        </r>
      </text>
    </comment>
    <comment ref="I34" authorId="2" shapeId="0">
      <text>
        <r>
          <rPr>
            <b/>
            <sz val="9"/>
            <color indexed="81"/>
            <rFont val="Tahoma"/>
            <family val="2"/>
          </rPr>
          <t>USD</t>
        </r>
        <r>
          <rPr>
            <sz val="9"/>
            <color indexed="81"/>
            <rFont val="Tahoma"/>
            <family val="2"/>
          </rPr>
          <t xml:space="preserve">
</t>
        </r>
      </text>
    </comment>
    <comment ref="B35" authorId="0" shapeId="0">
      <text>
        <r>
          <rPr>
            <b/>
            <sz val="8"/>
            <color indexed="81"/>
            <rFont val="Tahoma"/>
            <family val="2"/>
          </rPr>
          <t>lglasson:</t>
        </r>
        <r>
          <rPr>
            <sz val="8"/>
            <color indexed="81"/>
            <rFont val="Tahoma"/>
            <family val="2"/>
          </rPr>
          <t xml:space="preserve">
4 characters</t>
        </r>
      </text>
    </comment>
    <comment ref="B36" authorId="0" shapeId="0">
      <text>
        <r>
          <rPr>
            <b/>
            <sz val="8"/>
            <color indexed="81"/>
            <rFont val="Tahoma"/>
            <family val="2"/>
          </rPr>
          <t>lglasson:</t>
        </r>
        <r>
          <rPr>
            <sz val="8"/>
            <color indexed="81"/>
            <rFont val="Tahoma"/>
            <family val="2"/>
          </rPr>
          <t xml:space="preserve">
up to 12 characters before decimal point</t>
        </r>
      </text>
    </comment>
    <comment ref="I36" authorId="2" shapeId="0">
      <text>
        <r>
          <rPr>
            <b/>
            <sz val="9"/>
            <color indexed="81"/>
            <rFont val="Tahoma"/>
            <family val="2"/>
          </rPr>
          <t>USD</t>
        </r>
        <r>
          <rPr>
            <sz val="9"/>
            <color indexed="81"/>
            <rFont val="Tahoma"/>
            <family val="2"/>
          </rPr>
          <t xml:space="preserve">
</t>
        </r>
      </text>
    </comment>
    <comment ref="B37" authorId="0" shapeId="0">
      <text>
        <r>
          <rPr>
            <b/>
            <sz val="8"/>
            <color indexed="81"/>
            <rFont val="Tahoma"/>
            <family val="2"/>
          </rPr>
          <t>lglasson:</t>
        </r>
        <r>
          <rPr>
            <sz val="8"/>
            <color indexed="81"/>
            <rFont val="Tahoma"/>
            <family val="2"/>
          </rPr>
          <t xml:space="preserve">
Client Specific (Ensure bank key is in SAP)</t>
        </r>
      </text>
    </comment>
    <comment ref="B38" authorId="0" shapeId="0">
      <text>
        <r>
          <rPr>
            <b/>
            <sz val="8"/>
            <color indexed="81"/>
            <rFont val="Tahoma"/>
            <family val="2"/>
          </rPr>
          <t>lglasson:</t>
        </r>
        <r>
          <rPr>
            <sz val="8"/>
            <color indexed="81"/>
            <rFont val="Tahoma"/>
            <family val="2"/>
          </rPr>
          <t xml:space="preserve">
User Specific</t>
        </r>
      </text>
    </comment>
    <comment ref="B39" authorId="0" shapeId="0">
      <text>
        <r>
          <rPr>
            <b/>
            <sz val="8"/>
            <color indexed="81"/>
            <rFont val="Tahoma"/>
            <family val="2"/>
          </rPr>
          <t>lglasson:</t>
        </r>
        <r>
          <rPr>
            <sz val="8"/>
            <color indexed="81"/>
            <rFont val="Tahoma"/>
            <family val="2"/>
          </rPr>
          <t xml:space="preserve">
1 character</t>
        </r>
      </text>
    </comment>
    <comment ref="B40" authorId="0" shapeId="0">
      <text>
        <r>
          <rPr>
            <b/>
            <sz val="8"/>
            <color indexed="81"/>
            <rFont val="Tahoma"/>
            <family val="2"/>
          </rPr>
          <t>lglasson:</t>
        </r>
        <r>
          <rPr>
            <sz val="8"/>
            <color indexed="81"/>
            <rFont val="Tahoma"/>
            <family val="2"/>
          </rPr>
          <t xml:space="preserve">
2 characters</t>
        </r>
      </text>
    </comment>
    <comment ref="B41" authorId="0" shapeId="0">
      <text>
        <r>
          <rPr>
            <b/>
            <sz val="8"/>
            <color indexed="81"/>
            <rFont val="Tahoma"/>
            <family val="2"/>
          </rPr>
          <t>lglasson:</t>
        </r>
        <r>
          <rPr>
            <sz val="8"/>
            <color indexed="81"/>
            <rFont val="Tahoma"/>
            <family val="2"/>
          </rPr>
          <t xml:space="preserve">
dd.mm.yyyy</t>
        </r>
      </text>
    </comment>
    <comment ref="B42" authorId="0" shapeId="0">
      <text>
        <r>
          <rPr>
            <b/>
            <sz val="8"/>
            <color indexed="81"/>
            <rFont val="Tahoma"/>
            <family val="2"/>
          </rPr>
          <t>lglasson:</t>
        </r>
        <r>
          <rPr>
            <sz val="8"/>
            <color indexed="81"/>
            <rFont val="Tahoma"/>
            <family val="2"/>
          </rPr>
          <t xml:space="preserve">
2 characters OR leave blank if not required</t>
        </r>
      </text>
    </comment>
    <comment ref="B43" authorId="0" shapeId="0">
      <text>
        <r>
          <rPr>
            <b/>
            <sz val="8"/>
            <color indexed="81"/>
            <rFont val="Tahoma"/>
            <family val="2"/>
          </rPr>
          <t>lglasson:</t>
        </r>
        <r>
          <rPr>
            <sz val="8"/>
            <color indexed="81"/>
            <rFont val="Tahoma"/>
            <family val="2"/>
          </rPr>
          <t xml:space="preserve">
dd.mm.yyyy OR leave blank if not required</t>
        </r>
      </text>
    </comment>
    <comment ref="B44" authorId="0" shapeId="0">
      <text>
        <r>
          <rPr>
            <b/>
            <sz val="8"/>
            <color indexed="81"/>
            <rFont val="Tahoma"/>
            <family val="2"/>
          </rPr>
          <t>lglasson:</t>
        </r>
        <r>
          <rPr>
            <sz val="8"/>
            <color indexed="81"/>
            <rFont val="Tahoma"/>
            <family val="2"/>
          </rPr>
          <t xml:space="preserve">
2 characters OR leave blank if not required</t>
        </r>
      </text>
    </comment>
    <comment ref="B45" authorId="0" shapeId="0">
      <text>
        <r>
          <rPr>
            <b/>
            <sz val="8"/>
            <color indexed="81"/>
            <rFont val="Tahoma"/>
            <family val="2"/>
          </rPr>
          <t>lglasson:</t>
        </r>
        <r>
          <rPr>
            <sz val="8"/>
            <color indexed="81"/>
            <rFont val="Tahoma"/>
            <family val="2"/>
          </rPr>
          <t xml:space="preserve">
dd.mm.yyyy OR leave blank if not required</t>
        </r>
      </text>
    </comment>
    <comment ref="B46" authorId="0" shapeId="0">
      <text>
        <r>
          <rPr>
            <b/>
            <sz val="8"/>
            <color indexed="81"/>
            <rFont val="Tahoma"/>
            <family val="2"/>
          </rPr>
          <t>lglasson:</t>
        </r>
        <r>
          <rPr>
            <sz val="8"/>
            <color indexed="81"/>
            <rFont val="Tahoma"/>
            <family val="2"/>
          </rPr>
          <t xml:space="preserve">
2 characters OR leave blank if not required</t>
        </r>
      </text>
    </comment>
    <comment ref="B47" authorId="0" shapeId="0">
      <text>
        <r>
          <rPr>
            <b/>
            <sz val="8"/>
            <color indexed="81"/>
            <rFont val="Tahoma"/>
            <family val="2"/>
          </rPr>
          <t>lglasson:</t>
        </r>
        <r>
          <rPr>
            <sz val="8"/>
            <color indexed="81"/>
            <rFont val="Tahoma"/>
            <family val="2"/>
          </rPr>
          <t xml:space="preserve">
dd.mm.yyyy OR leave blank if not required</t>
        </r>
      </text>
    </comment>
    <comment ref="B48" authorId="0" shapeId="0">
      <text>
        <r>
          <rPr>
            <b/>
            <sz val="8"/>
            <color indexed="81"/>
            <rFont val="Tahoma"/>
            <family val="2"/>
          </rPr>
          <t>lglasson:</t>
        </r>
        <r>
          <rPr>
            <sz val="8"/>
            <color indexed="81"/>
            <rFont val="Tahoma"/>
            <family val="2"/>
          </rPr>
          <t xml:space="preserve">
Standard entries are:
01 - Personal ID
02 - Passport</t>
        </r>
      </text>
    </comment>
    <comment ref="B49" authorId="3" shapeId="0">
      <text>
        <r>
          <rPr>
            <b/>
            <sz val="8"/>
            <color indexed="81"/>
            <rFont val="Tahoma"/>
            <family val="2"/>
          </rPr>
          <t>lglasson:</t>
        </r>
        <r>
          <rPr>
            <sz val="8"/>
            <color indexed="81"/>
            <rFont val="Tahoma"/>
            <family val="2"/>
          </rPr>
          <t xml:space="preserve">
18 characters in all…in four blocks (6, 8, 3 &amp; 1).  Based on DOB 11.05.1968 … suggested ID number is:
"123456 19680511 222 0" for female and 
"123456 19680511 121 X" for male.</t>
        </r>
      </text>
    </comment>
    <comment ref="B52" authorId="0" shapeId="0">
      <text>
        <r>
          <rPr>
            <b/>
            <sz val="8"/>
            <color indexed="81"/>
            <rFont val="Tahoma"/>
            <family val="2"/>
          </rPr>
          <t>dmartin:</t>
        </r>
        <r>
          <rPr>
            <sz val="8"/>
            <color indexed="81"/>
            <rFont val="Tahoma"/>
            <family val="2"/>
          </rPr>
          <t xml:space="preserve">
2 characters.  Example:
VN - Vietnam
CN - Chinese
MY - Malaysian
SG - Singaporean</t>
        </r>
      </text>
    </comment>
    <comment ref="B64" authorId="0" shapeId="0">
      <text>
        <r>
          <rPr>
            <b/>
            <sz val="8"/>
            <color indexed="81"/>
            <rFont val="Tahoma"/>
            <family val="2"/>
          </rPr>
          <t>lglasson:</t>
        </r>
        <r>
          <rPr>
            <sz val="8"/>
            <color indexed="81"/>
            <rFont val="Tahoma"/>
            <family val="2"/>
          </rPr>
          <t xml:space="preserve">
2 characters OR leave blank if not required</t>
        </r>
      </text>
    </comment>
    <comment ref="B66" authorId="0" shapeId="0">
      <text>
        <r>
          <rPr>
            <b/>
            <sz val="8"/>
            <color indexed="81"/>
            <rFont val="Tahoma"/>
            <family val="2"/>
          </rPr>
          <t>lglasson:</t>
        </r>
        <r>
          <rPr>
            <sz val="8"/>
            <color indexed="81"/>
            <rFont val="Tahoma"/>
            <family val="2"/>
          </rPr>
          <t xml:space="preserve">
dd.mm.yyyy OR leave blank if not required</t>
        </r>
      </text>
    </comment>
    <comment ref="B67" authorId="0" shapeId="0">
      <text>
        <r>
          <rPr>
            <b/>
            <sz val="8"/>
            <color indexed="81"/>
            <rFont val="Tahoma"/>
            <family val="2"/>
          </rPr>
          <t>lglasson:</t>
        </r>
        <r>
          <rPr>
            <sz val="8"/>
            <color indexed="81"/>
            <rFont val="Tahoma"/>
            <family val="2"/>
          </rPr>
          <t xml:space="preserve">
dd.mm.yyyy OR leave blank if not required</t>
        </r>
      </text>
    </comment>
    <comment ref="B68" authorId="0" shapeId="0">
      <text>
        <r>
          <rPr>
            <b/>
            <sz val="8"/>
            <color indexed="81"/>
            <rFont val="Tahoma"/>
            <family val="2"/>
          </rPr>
          <t>lglasson:</t>
        </r>
        <r>
          <rPr>
            <sz val="8"/>
            <color indexed="81"/>
            <rFont val="Tahoma"/>
            <family val="2"/>
          </rPr>
          <t xml:space="preserve">
2 characters OR leave blank if not required</t>
        </r>
      </text>
    </comment>
    <comment ref="B70" authorId="0" shapeId="0">
      <text>
        <r>
          <rPr>
            <b/>
            <sz val="8"/>
            <color indexed="81"/>
            <rFont val="Tahoma"/>
            <family val="2"/>
          </rPr>
          <t>lglasson:</t>
        </r>
        <r>
          <rPr>
            <sz val="8"/>
            <color indexed="81"/>
            <rFont val="Tahoma"/>
            <family val="2"/>
          </rPr>
          <t xml:space="preserve">
dd.mm.yyyy OR leave blank if not required</t>
        </r>
      </text>
    </comment>
    <comment ref="B71" authorId="0" shapeId="0">
      <text>
        <r>
          <rPr>
            <b/>
            <sz val="8"/>
            <color indexed="81"/>
            <rFont val="Tahoma"/>
            <family val="2"/>
          </rPr>
          <t>lglasson:</t>
        </r>
        <r>
          <rPr>
            <sz val="8"/>
            <color indexed="81"/>
            <rFont val="Tahoma"/>
            <family val="2"/>
          </rPr>
          <t xml:space="preserve">
dd.mm.yyyy OR leave blank if not required</t>
        </r>
      </text>
    </comment>
    <comment ref="B72" authorId="0" shapeId="0">
      <text>
        <r>
          <rPr>
            <b/>
            <sz val="8"/>
            <color indexed="81"/>
            <rFont val="Tahoma"/>
            <family val="2"/>
          </rPr>
          <t>lglasson:</t>
        </r>
        <r>
          <rPr>
            <sz val="8"/>
            <color indexed="81"/>
            <rFont val="Tahoma"/>
            <family val="2"/>
          </rPr>
          <t xml:space="preserve">
2 characters OR leave blank if not required</t>
        </r>
      </text>
    </comment>
    <comment ref="B73" authorId="0" shapeId="0">
      <text>
        <r>
          <rPr>
            <b/>
            <sz val="8"/>
            <color indexed="81"/>
            <rFont val="Tahoma"/>
            <family val="2"/>
          </rPr>
          <t>lglasson:</t>
        </r>
        <r>
          <rPr>
            <sz val="8"/>
            <color indexed="81"/>
            <rFont val="Tahoma"/>
            <family val="2"/>
          </rPr>
          <t xml:space="preserve">
dd.mm.yyyy OR leave blank if not required</t>
        </r>
      </text>
    </comment>
    <comment ref="B74" authorId="0" shapeId="0">
      <text>
        <r>
          <rPr>
            <b/>
            <sz val="8"/>
            <color indexed="81"/>
            <rFont val="Tahoma"/>
            <family val="2"/>
          </rPr>
          <t>lglasson:</t>
        </r>
        <r>
          <rPr>
            <sz val="8"/>
            <color indexed="81"/>
            <rFont val="Tahoma"/>
            <family val="2"/>
          </rPr>
          <t xml:space="preserve">
dd.mm.yyyy OR leave blank if not required</t>
        </r>
      </text>
    </comment>
    <comment ref="B75" authorId="0" shapeId="0">
      <text>
        <r>
          <rPr>
            <b/>
            <sz val="8"/>
            <color indexed="81"/>
            <rFont val="Tahoma"/>
            <family val="2"/>
          </rPr>
          <t>lglasson:</t>
        </r>
        <r>
          <rPr>
            <sz val="8"/>
            <color indexed="81"/>
            <rFont val="Tahoma"/>
            <family val="2"/>
          </rPr>
          <t xml:space="preserve">
2 characters OR leave blank if not required</t>
        </r>
      </text>
    </comment>
    <comment ref="B76" authorId="0" shapeId="0">
      <text>
        <r>
          <rPr>
            <b/>
            <sz val="8"/>
            <color indexed="81"/>
            <rFont val="Tahoma"/>
            <family val="2"/>
          </rPr>
          <t>lglasson:</t>
        </r>
        <r>
          <rPr>
            <sz val="8"/>
            <color indexed="81"/>
            <rFont val="Tahoma"/>
            <family val="2"/>
          </rPr>
          <t xml:space="preserve">
dd.mm.yyyy OR leave blank if not required</t>
        </r>
      </text>
    </comment>
    <comment ref="B77" authorId="0" shapeId="0">
      <text>
        <r>
          <rPr>
            <b/>
            <sz val="8"/>
            <color indexed="81"/>
            <rFont val="Tahoma"/>
            <family val="2"/>
          </rPr>
          <t>lglasson:</t>
        </r>
        <r>
          <rPr>
            <sz val="8"/>
            <color indexed="81"/>
            <rFont val="Tahoma"/>
            <family val="2"/>
          </rPr>
          <t xml:space="preserve">
dd.mm.yyyy OR leave blank if not required</t>
        </r>
      </text>
    </comment>
    <comment ref="B92" authorId="0" shapeId="0">
      <text>
        <r>
          <rPr>
            <b/>
            <sz val="8"/>
            <color indexed="81"/>
            <rFont val="Tahoma"/>
            <family val="2"/>
          </rPr>
          <t>lglasson:</t>
        </r>
        <r>
          <rPr>
            <sz val="8"/>
            <color indexed="81"/>
            <rFont val="Tahoma"/>
            <family val="2"/>
          </rPr>
          <t xml:space="preserve">
Recommend starting at 28000001</t>
        </r>
      </text>
    </comment>
    <comment ref="B93" authorId="0" shapeId="0">
      <text>
        <r>
          <rPr>
            <b/>
            <sz val="8"/>
            <color indexed="81"/>
            <rFont val="Tahoma"/>
            <family val="2"/>
          </rPr>
          <t>lglasson:</t>
        </r>
        <r>
          <rPr>
            <sz val="8"/>
            <color indexed="81"/>
            <rFont val="Tahoma"/>
            <family val="2"/>
          </rPr>
          <t xml:space="preserve">
dd.mm.yyyy</t>
        </r>
      </text>
    </comment>
    <comment ref="B94" authorId="0" shapeId="0">
      <text>
        <r>
          <rPr>
            <b/>
            <sz val="8"/>
            <color indexed="81"/>
            <rFont val="Tahoma"/>
            <family val="2"/>
          </rPr>
          <t>lglasson:</t>
        </r>
        <r>
          <rPr>
            <sz val="8"/>
            <color indexed="81"/>
            <rFont val="Tahoma"/>
            <family val="2"/>
          </rPr>
          <t xml:space="preserve">
1 character</t>
        </r>
      </text>
    </comment>
    <comment ref="B95" authorId="0" shapeId="0">
      <text>
        <r>
          <rPr>
            <b/>
            <sz val="8"/>
            <color indexed="81"/>
            <rFont val="Tahoma"/>
            <family val="2"/>
          </rPr>
          <t>lglasson:</t>
        </r>
        <r>
          <rPr>
            <sz val="8"/>
            <color indexed="81"/>
            <rFont val="Tahoma"/>
            <family val="2"/>
          </rPr>
          <t xml:space="preserve">
7 or 8 characters</t>
        </r>
      </text>
    </comment>
    <comment ref="B97" authorId="0" shapeId="0">
      <text>
        <r>
          <rPr>
            <b/>
            <sz val="8"/>
            <color indexed="81"/>
            <rFont val="Tahoma"/>
            <family val="2"/>
          </rPr>
          <t>lglasson:</t>
        </r>
        <r>
          <rPr>
            <sz val="8"/>
            <color indexed="81"/>
            <rFont val="Tahoma"/>
            <family val="2"/>
          </rPr>
          <t xml:space="preserve">
2 characters OR leave blank if not required</t>
        </r>
      </text>
    </comment>
    <comment ref="B98" authorId="0" shapeId="0">
      <text>
        <r>
          <rPr>
            <b/>
            <sz val="8"/>
            <color indexed="81"/>
            <rFont val="Tahoma"/>
            <family val="2"/>
          </rPr>
          <t>lglasson:</t>
        </r>
        <r>
          <rPr>
            <sz val="8"/>
            <color indexed="81"/>
            <rFont val="Tahoma"/>
            <family val="2"/>
          </rPr>
          <t xml:space="preserve">
dd.mm.yyyy OR leave blank if not required</t>
        </r>
      </text>
    </comment>
    <comment ref="B99" authorId="0" shapeId="0">
      <text>
        <r>
          <rPr>
            <b/>
            <sz val="8"/>
            <color indexed="81"/>
            <rFont val="Tahoma"/>
            <family val="2"/>
          </rPr>
          <t>lglasson:</t>
        </r>
        <r>
          <rPr>
            <sz val="8"/>
            <color indexed="81"/>
            <rFont val="Tahoma"/>
            <family val="2"/>
          </rPr>
          <t xml:space="preserve">
2 characters OR leave blank if not required</t>
        </r>
      </text>
    </comment>
    <comment ref="B101" authorId="0" shapeId="0">
      <text>
        <r>
          <rPr>
            <b/>
            <sz val="8"/>
            <color indexed="81"/>
            <rFont val="Tahoma"/>
            <family val="2"/>
          </rPr>
          <t>lglasson:</t>
        </r>
        <r>
          <rPr>
            <sz val="8"/>
            <color indexed="81"/>
            <rFont val="Tahoma"/>
            <family val="2"/>
          </rPr>
          <t xml:space="preserve">
dd.mm.yyyy OR leave blank if not required</t>
        </r>
      </text>
    </comment>
    <comment ref="B102" authorId="0" shapeId="0">
      <text>
        <r>
          <rPr>
            <b/>
            <sz val="8"/>
            <color indexed="81"/>
            <rFont val="Tahoma"/>
            <family val="2"/>
          </rPr>
          <t>lglasson:</t>
        </r>
        <r>
          <rPr>
            <sz val="8"/>
            <color indexed="81"/>
            <rFont val="Tahoma"/>
            <family val="2"/>
          </rPr>
          <t xml:space="preserve">
dd.mm.yyyy OR leave blank if not required</t>
        </r>
      </text>
    </comment>
    <comment ref="B103" authorId="0" shapeId="0">
      <text>
        <r>
          <rPr>
            <b/>
            <sz val="8"/>
            <color indexed="81"/>
            <rFont val="Tahoma"/>
            <family val="2"/>
          </rPr>
          <t>lglasson:</t>
        </r>
        <r>
          <rPr>
            <sz val="8"/>
            <color indexed="81"/>
            <rFont val="Tahoma"/>
            <family val="2"/>
          </rPr>
          <t xml:space="preserve">
2 characters OR leave blank if not required</t>
        </r>
      </text>
    </comment>
    <comment ref="B105" authorId="0" shapeId="0">
      <text>
        <r>
          <rPr>
            <b/>
            <sz val="8"/>
            <color indexed="81"/>
            <rFont val="Tahoma"/>
            <family val="2"/>
          </rPr>
          <t>lglasson:</t>
        </r>
        <r>
          <rPr>
            <sz val="8"/>
            <color indexed="81"/>
            <rFont val="Tahoma"/>
            <family val="2"/>
          </rPr>
          <t xml:space="preserve">
dd.mm.yyyy OR leave blank if not required</t>
        </r>
      </text>
    </comment>
    <comment ref="B106" authorId="0" shapeId="0">
      <text>
        <r>
          <rPr>
            <b/>
            <sz val="8"/>
            <color indexed="81"/>
            <rFont val="Tahoma"/>
            <family val="2"/>
          </rPr>
          <t>lglasson:</t>
        </r>
        <r>
          <rPr>
            <sz val="8"/>
            <color indexed="81"/>
            <rFont val="Tahoma"/>
            <family val="2"/>
          </rPr>
          <t xml:space="preserve">
dd.mm.yyyy OR leave blank if not required</t>
        </r>
      </text>
    </comment>
  </commentList>
</comments>
</file>

<file path=xl/comments6.xml><?xml version="1.0" encoding="utf-8"?>
<comments xmlns="http://schemas.openxmlformats.org/spreadsheetml/2006/main">
  <authors>
    <author>lglasson</author>
    <author>Xia, Summer (ESI)</author>
    <author>Windows User</author>
  </authors>
  <commentList>
    <comment ref="W22" authorId="0" shapeId="0">
      <text>
        <r>
          <rPr>
            <b/>
            <sz val="8"/>
            <color indexed="81"/>
            <rFont val="Tahoma"/>
            <family val="2"/>
          </rPr>
          <t>lglasson:</t>
        </r>
        <r>
          <rPr>
            <sz val="8"/>
            <color indexed="81"/>
            <rFont val="Tahoma"/>
            <family val="2"/>
          </rPr>
          <t xml:space="preserve">
Compulsory Field.
EE SAP number</t>
        </r>
      </text>
    </comment>
    <comment ref="X22" authorId="0" shapeId="0">
      <text>
        <r>
          <rPr>
            <b/>
            <sz val="8"/>
            <color indexed="81"/>
            <rFont val="Tahoma"/>
            <family val="2"/>
          </rPr>
          <t>lglasson:</t>
        </r>
        <r>
          <rPr>
            <sz val="8"/>
            <color indexed="81"/>
            <rFont val="Tahoma"/>
            <family val="2"/>
          </rPr>
          <t xml:space="preserve">
Compulsory Field.
dd.mm.yyyy</t>
        </r>
      </text>
    </comment>
    <comment ref="Y22" authorId="0" shapeId="0">
      <text>
        <r>
          <rPr>
            <b/>
            <sz val="8"/>
            <color indexed="81"/>
            <rFont val="Tahoma"/>
            <family val="2"/>
          </rPr>
          <t>lglasson:</t>
        </r>
        <r>
          <rPr>
            <sz val="8"/>
            <color indexed="81"/>
            <rFont val="Tahoma"/>
            <family val="2"/>
          </rPr>
          <t xml:space="preserve">
Compulsory Field.
dd.mm.yyyy</t>
        </r>
      </text>
    </comment>
    <comment ref="Z22" authorId="0" shapeId="0">
      <text>
        <r>
          <rPr>
            <b/>
            <sz val="8"/>
            <color indexed="81"/>
            <rFont val="Tahoma"/>
            <family val="2"/>
          </rPr>
          <t>lglasson:</t>
        </r>
        <r>
          <rPr>
            <sz val="8"/>
            <color indexed="81"/>
            <rFont val="Tahoma"/>
            <family val="2"/>
          </rPr>
          <t xml:space="preserve">
Compulsory Field.
4 characters</t>
        </r>
      </text>
    </comment>
    <comment ref="AA22" authorId="0" shapeId="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22" authorId="0" shapeId="0">
      <text>
        <r>
          <rPr>
            <b/>
            <sz val="8"/>
            <color indexed="81"/>
            <rFont val="Tahoma"/>
            <family val="2"/>
          </rPr>
          <t>lglasson:</t>
        </r>
        <r>
          <rPr>
            <sz val="8"/>
            <color indexed="81"/>
            <rFont val="Tahoma"/>
            <family val="2"/>
          </rPr>
          <t xml:space="preserve">
Up to 5 characters before numeric point</t>
        </r>
      </text>
    </comment>
    <comment ref="AC22" authorId="0" shapeId="0">
      <text>
        <r>
          <rPr>
            <b/>
            <sz val="8"/>
            <color indexed="81"/>
            <rFont val="Tahoma"/>
            <family val="2"/>
          </rPr>
          <t>lglasson:</t>
        </r>
        <r>
          <rPr>
            <sz val="8"/>
            <color indexed="81"/>
            <rFont val="Tahoma"/>
            <family val="2"/>
          </rPr>
          <t xml:space="preserve">
Inputs are:
Hours
Days
Weeks
Percent
Units
Months</t>
        </r>
      </text>
    </comment>
    <comment ref="A23" authorId="0" shapeId="0">
      <text>
        <r>
          <rPr>
            <b/>
            <sz val="8"/>
            <color indexed="81"/>
            <rFont val="Tahoma"/>
            <family val="2"/>
          </rPr>
          <t>lglasson:</t>
        </r>
        <r>
          <rPr>
            <sz val="8"/>
            <color indexed="81"/>
            <rFont val="Tahoma"/>
            <family val="2"/>
          </rPr>
          <t xml:space="preserve">
As per blueprint</t>
        </r>
      </text>
    </comment>
    <comment ref="H40" authorId="1" shapeId="0">
      <text>
        <r>
          <rPr>
            <b/>
            <sz val="9"/>
            <color indexed="81"/>
            <rFont val="Tahoma"/>
            <family val="2"/>
          </rPr>
          <t>One of EE's DP is &lt; 18 yr old</t>
        </r>
        <r>
          <rPr>
            <sz val="9"/>
            <color indexed="81"/>
            <rFont val="Tahoma"/>
            <family val="2"/>
          </rPr>
          <t xml:space="preserve">
</t>
        </r>
      </text>
    </comment>
    <comment ref="A45" authorId="0" shapeId="0">
      <text>
        <r>
          <rPr>
            <b/>
            <sz val="8"/>
            <color indexed="81"/>
            <rFont val="Tahoma"/>
            <family val="2"/>
          </rPr>
          <t>lglasson:</t>
        </r>
        <r>
          <rPr>
            <sz val="8"/>
            <color indexed="81"/>
            <rFont val="Tahoma"/>
            <family val="2"/>
          </rPr>
          <t xml:space="preserve">
As per blueprint</t>
        </r>
      </text>
    </comment>
    <comment ref="A46" authorId="2" shapeId="0">
      <text>
        <r>
          <rPr>
            <b/>
            <sz val="9"/>
            <color indexed="81"/>
            <rFont val="Tahoma"/>
            <family val="2"/>
          </rPr>
          <t>Windows User:</t>
        </r>
        <r>
          <rPr>
            <sz val="9"/>
            <color indexed="81"/>
            <rFont val="Tahoma"/>
            <family val="2"/>
          </rPr>
          <t xml:space="preserve">
capping amount = 23,000,000</t>
        </r>
      </text>
    </comment>
    <comment ref="L46" authorId="1" shapeId="0">
      <text>
        <r>
          <rPr>
            <b/>
            <sz val="9"/>
            <color indexed="81"/>
            <rFont val="Tahoma"/>
            <family val="2"/>
          </rPr>
          <t>Insurance Base capped as 27,800,000</t>
        </r>
        <r>
          <rPr>
            <sz val="9"/>
            <color indexed="81"/>
            <rFont val="Tahoma"/>
            <family val="2"/>
          </rPr>
          <t xml:space="preserve">
</t>
        </r>
      </text>
    </comment>
    <comment ref="L47" authorId="1" shapeId="0">
      <text>
        <r>
          <rPr>
            <b/>
            <sz val="9"/>
            <color indexed="81"/>
            <rFont val="Tahoma"/>
            <family val="2"/>
          </rPr>
          <t>Insurance Base capped as 83,600,000</t>
        </r>
        <r>
          <rPr>
            <sz val="9"/>
            <color indexed="81"/>
            <rFont val="Tahoma"/>
            <family val="2"/>
          </rPr>
          <t xml:space="preserve">
</t>
        </r>
      </text>
    </comment>
    <comment ref="L48" authorId="1" shapeId="0">
      <text>
        <r>
          <rPr>
            <b/>
            <sz val="9"/>
            <color indexed="81"/>
            <rFont val="Tahoma"/>
            <family val="2"/>
          </rPr>
          <t>Insurance Base capped as 27,800,000</t>
        </r>
        <r>
          <rPr>
            <sz val="9"/>
            <color indexed="81"/>
            <rFont val="Tahoma"/>
            <family val="2"/>
          </rPr>
          <t xml:space="preserve">
</t>
        </r>
      </text>
    </comment>
    <comment ref="H53" authorId="1" shapeId="0">
      <text>
        <r>
          <rPr>
            <b/>
            <sz val="9"/>
            <color indexed="81"/>
            <rFont val="Tahoma"/>
            <family val="2"/>
          </rPr>
          <t>One of EE's DP is &lt; 18 yr old</t>
        </r>
        <r>
          <rPr>
            <sz val="9"/>
            <color indexed="81"/>
            <rFont val="Tahoma"/>
            <family val="2"/>
          </rPr>
          <t xml:space="preserve">
</t>
        </r>
      </text>
    </comment>
    <comment ref="A62" authorId="2" shapeId="0">
      <text>
        <r>
          <rPr>
            <b/>
            <sz val="9"/>
            <color indexed="81"/>
            <rFont val="Tahoma"/>
            <family val="2"/>
          </rPr>
          <t>Windows User:</t>
        </r>
        <r>
          <rPr>
            <sz val="9"/>
            <color indexed="81"/>
            <rFont val="Tahoma"/>
            <family val="2"/>
          </rPr>
          <t xml:space="preserve">
capping amount = 23,000,000
</t>
        </r>
      </text>
    </comment>
    <comment ref="W78" authorId="0" shapeId="0">
      <text>
        <r>
          <rPr>
            <b/>
            <sz val="8"/>
            <color indexed="81"/>
            <rFont val="Tahoma"/>
            <family val="2"/>
          </rPr>
          <t>lglasson:</t>
        </r>
        <r>
          <rPr>
            <sz val="8"/>
            <color indexed="81"/>
            <rFont val="Tahoma"/>
            <family val="2"/>
          </rPr>
          <t xml:space="preserve">
Compulsory Field.
EE SAP number</t>
        </r>
      </text>
    </comment>
    <comment ref="X78" authorId="0" shapeId="0">
      <text>
        <r>
          <rPr>
            <b/>
            <sz val="8"/>
            <color indexed="81"/>
            <rFont val="Tahoma"/>
            <family val="2"/>
          </rPr>
          <t>lglasson:</t>
        </r>
        <r>
          <rPr>
            <sz val="8"/>
            <color indexed="81"/>
            <rFont val="Tahoma"/>
            <family val="2"/>
          </rPr>
          <t xml:space="preserve">
Compulsory Field.
dd.mm.yyyy</t>
        </r>
      </text>
    </comment>
    <comment ref="Y78" authorId="0" shapeId="0">
      <text>
        <r>
          <rPr>
            <b/>
            <sz val="8"/>
            <color indexed="81"/>
            <rFont val="Tahoma"/>
            <family val="2"/>
          </rPr>
          <t>lglasson:</t>
        </r>
        <r>
          <rPr>
            <sz val="8"/>
            <color indexed="81"/>
            <rFont val="Tahoma"/>
            <family val="2"/>
          </rPr>
          <t xml:space="preserve">
Compulsory Field.
dd.mm.yyyy</t>
        </r>
      </text>
    </comment>
    <comment ref="Z78" authorId="0" shapeId="0">
      <text>
        <r>
          <rPr>
            <b/>
            <sz val="8"/>
            <color indexed="81"/>
            <rFont val="Tahoma"/>
            <family val="2"/>
          </rPr>
          <t>lglasson:</t>
        </r>
        <r>
          <rPr>
            <sz val="8"/>
            <color indexed="81"/>
            <rFont val="Tahoma"/>
            <family val="2"/>
          </rPr>
          <t xml:space="preserve">
Compulsory Field.
4 characters</t>
        </r>
      </text>
    </comment>
    <comment ref="AA78" authorId="0" shapeId="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78" authorId="0" shapeId="0">
      <text>
        <r>
          <rPr>
            <b/>
            <sz val="8"/>
            <color indexed="81"/>
            <rFont val="Tahoma"/>
            <family val="2"/>
          </rPr>
          <t>lglasson:</t>
        </r>
        <r>
          <rPr>
            <sz val="8"/>
            <color indexed="81"/>
            <rFont val="Tahoma"/>
            <family val="2"/>
          </rPr>
          <t xml:space="preserve">
Up to 5 characters before numeric point</t>
        </r>
      </text>
    </comment>
    <comment ref="AC78" authorId="0" shapeId="0">
      <text>
        <r>
          <rPr>
            <b/>
            <sz val="8"/>
            <color indexed="81"/>
            <rFont val="Tahoma"/>
            <family val="2"/>
          </rPr>
          <t>lglasson:</t>
        </r>
        <r>
          <rPr>
            <sz val="8"/>
            <color indexed="81"/>
            <rFont val="Tahoma"/>
            <family val="2"/>
          </rPr>
          <t xml:space="preserve">
Inputs are:
Hours
Days
Weeks
Percent
Units
Months</t>
        </r>
      </text>
    </comment>
    <comment ref="W86" authorId="0" shapeId="0">
      <text>
        <r>
          <rPr>
            <b/>
            <sz val="8"/>
            <color indexed="81"/>
            <rFont val="Tahoma"/>
            <family val="2"/>
          </rPr>
          <t>lglasson:</t>
        </r>
        <r>
          <rPr>
            <sz val="8"/>
            <color indexed="81"/>
            <rFont val="Tahoma"/>
            <family val="2"/>
          </rPr>
          <t xml:space="preserve">
Compulsory Field.
EE SAP number</t>
        </r>
      </text>
    </comment>
    <comment ref="X86" authorId="0" shapeId="0">
      <text>
        <r>
          <rPr>
            <b/>
            <sz val="8"/>
            <color indexed="81"/>
            <rFont val="Tahoma"/>
            <family val="2"/>
          </rPr>
          <t>lglasson:</t>
        </r>
        <r>
          <rPr>
            <sz val="8"/>
            <color indexed="81"/>
            <rFont val="Tahoma"/>
            <family val="2"/>
          </rPr>
          <t xml:space="preserve">
Compulsory Field.
dd.mm.yyyy</t>
        </r>
      </text>
    </comment>
    <comment ref="Y86" authorId="0" shapeId="0">
      <text>
        <r>
          <rPr>
            <b/>
            <sz val="8"/>
            <color indexed="81"/>
            <rFont val="Tahoma"/>
            <family val="2"/>
          </rPr>
          <t>lglasson:</t>
        </r>
        <r>
          <rPr>
            <sz val="8"/>
            <color indexed="81"/>
            <rFont val="Tahoma"/>
            <family val="2"/>
          </rPr>
          <t xml:space="preserve">
Compulsory Field.
dd.mm.yyyy</t>
        </r>
      </text>
    </comment>
    <comment ref="Z86" authorId="0" shapeId="0">
      <text>
        <r>
          <rPr>
            <b/>
            <sz val="8"/>
            <color indexed="81"/>
            <rFont val="Tahoma"/>
            <family val="2"/>
          </rPr>
          <t>lglasson:</t>
        </r>
        <r>
          <rPr>
            <sz val="8"/>
            <color indexed="81"/>
            <rFont val="Tahoma"/>
            <family val="2"/>
          </rPr>
          <t xml:space="preserve">
Up to 5 characters before numeric point</t>
        </r>
      </text>
    </comment>
    <comment ref="AA86" authorId="0" shapeId="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86" authorId="0" shapeId="0">
      <text>
        <r>
          <rPr>
            <b/>
            <sz val="8"/>
            <color indexed="81"/>
            <rFont val="Tahoma"/>
            <family val="2"/>
          </rPr>
          <t>lglasson:</t>
        </r>
        <r>
          <rPr>
            <sz val="8"/>
            <color indexed="81"/>
            <rFont val="Tahoma"/>
            <family val="2"/>
          </rPr>
          <t xml:space="preserve">
Up to 5 characters before numeric point</t>
        </r>
      </text>
    </comment>
    <comment ref="AC86" authorId="0" shapeId="0">
      <text>
        <r>
          <rPr>
            <b/>
            <sz val="8"/>
            <color indexed="81"/>
            <rFont val="Tahoma"/>
            <family val="2"/>
          </rPr>
          <t>lglasson:</t>
        </r>
        <r>
          <rPr>
            <sz val="8"/>
            <color indexed="81"/>
            <rFont val="Tahoma"/>
            <family val="2"/>
          </rPr>
          <t xml:space="preserve">
Inputs are:
Hours
Days
Weeks
Percent
Units
Months</t>
        </r>
      </text>
    </comment>
    <comment ref="H94" authorId="1" shapeId="0">
      <text>
        <r>
          <rPr>
            <b/>
            <sz val="9"/>
            <color indexed="81"/>
            <rFont val="Tahoma"/>
            <family val="2"/>
          </rPr>
          <t>Insurance Salary is using Fix Ex. Rate for calculation</t>
        </r>
        <r>
          <rPr>
            <sz val="9"/>
            <color indexed="81"/>
            <rFont val="Tahoma"/>
            <family val="2"/>
          </rPr>
          <t xml:space="preserve">
</t>
        </r>
      </text>
    </comment>
    <comment ref="I94" authorId="1" shapeId="0">
      <text>
        <r>
          <rPr>
            <b/>
            <sz val="9"/>
            <color indexed="81"/>
            <rFont val="Tahoma"/>
            <family val="2"/>
          </rPr>
          <t>Insurance Salary is using Fix Ex. Rate for calculation</t>
        </r>
        <r>
          <rPr>
            <sz val="9"/>
            <color indexed="81"/>
            <rFont val="Tahoma"/>
            <family val="2"/>
          </rPr>
          <t xml:space="preserve">
</t>
        </r>
      </text>
    </comment>
  </commentList>
</comments>
</file>

<file path=xl/comments7.xml><?xml version="1.0" encoding="utf-8"?>
<comments xmlns="http://schemas.openxmlformats.org/spreadsheetml/2006/main">
  <authors>
    <author>lglasson</author>
    <author>Xia, Summer (ESI)</author>
    <author>Windows User</author>
  </authors>
  <commentList>
    <comment ref="W22" authorId="0" shapeId="0">
      <text>
        <r>
          <rPr>
            <b/>
            <sz val="8"/>
            <color indexed="81"/>
            <rFont val="Tahoma"/>
            <family val="2"/>
          </rPr>
          <t>lglasson:</t>
        </r>
        <r>
          <rPr>
            <sz val="8"/>
            <color indexed="81"/>
            <rFont val="Tahoma"/>
            <family val="2"/>
          </rPr>
          <t xml:space="preserve">
Compulsory Field.
EE SAP number</t>
        </r>
      </text>
    </comment>
    <comment ref="X22" authorId="0" shapeId="0">
      <text>
        <r>
          <rPr>
            <b/>
            <sz val="8"/>
            <color indexed="81"/>
            <rFont val="Tahoma"/>
            <family val="2"/>
          </rPr>
          <t>lglasson:</t>
        </r>
        <r>
          <rPr>
            <sz val="8"/>
            <color indexed="81"/>
            <rFont val="Tahoma"/>
            <family val="2"/>
          </rPr>
          <t xml:space="preserve">
Compulsory Field.
dd.mm.yyyy</t>
        </r>
      </text>
    </comment>
    <comment ref="Y22" authorId="0" shapeId="0">
      <text>
        <r>
          <rPr>
            <b/>
            <sz val="8"/>
            <color indexed="81"/>
            <rFont val="Tahoma"/>
            <family val="2"/>
          </rPr>
          <t>lglasson:</t>
        </r>
        <r>
          <rPr>
            <sz val="8"/>
            <color indexed="81"/>
            <rFont val="Tahoma"/>
            <family val="2"/>
          </rPr>
          <t xml:space="preserve">
Compulsory Field.
dd.mm.yyyy</t>
        </r>
      </text>
    </comment>
    <comment ref="Z22" authorId="0" shapeId="0">
      <text>
        <r>
          <rPr>
            <b/>
            <sz val="8"/>
            <color indexed="81"/>
            <rFont val="Tahoma"/>
            <family val="2"/>
          </rPr>
          <t>lglasson:</t>
        </r>
        <r>
          <rPr>
            <sz val="8"/>
            <color indexed="81"/>
            <rFont val="Tahoma"/>
            <family val="2"/>
          </rPr>
          <t xml:space="preserve">
Compulsory Field.
4 characters</t>
        </r>
      </text>
    </comment>
    <comment ref="AA22" authorId="0" shapeId="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22" authorId="0" shapeId="0">
      <text>
        <r>
          <rPr>
            <b/>
            <sz val="8"/>
            <color indexed="81"/>
            <rFont val="Tahoma"/>
            <family val="2"/>
          </rPr>
          <t>lglasson:</t>
        </r>
        <r>
          <rPr>
            <sz val="8"/>
            <color indexed="81"/>
            <rFont val="Tahoma"/>
            <family val="2"/>
          </rPr>
          <t xml:space="preserve">
Up to 5 characters before numeric point</t>
        </r>
      </text>
    </comment>
    <comment ref="AC22" authorId="0" shapeId="0">
      <text>
        <r>
          <rPr>
            <b/>
            <sz val="8"/>
            <color indexed="81"/>
            <rFont val="Tahoma"/>
            <family val="2"/>
          </rPr>
          <t>lglasson:</t>
        </r>
        <r>
          <rPr>
            <sz val="8"/>
            <color indexed="81"/>
            <rFont val="Tahoma"/>
            <family val="2"/>
          </rPr>
          <t xml:space="preserve">
Inputs are:
Hours
Days
Weeks
Percent
Units
Months</t>
        </r>
      </text>
    </comment>
    <comment ref="A23" authorId="0" shapeId="0">
      <text>
        <r>
          <rPr>
            <b/>
            <sz val="8"/>
            <color indexed="81"/>
            <rFont val="Tahoma"/>
            <family val="2"/>
          </rPr>
          <t>lglasson:</t>
        </r>
        <r>
          <rPr>
            <sz val="8"/>
            <color indexed="81"/>
            <rFont val="Tahoma"/>
            <family val="2"/>
          </rPr>
          <t xml:space="preserve">
As per blueprint</t>
        </r>
      </text>
    </comment>
    <comment ref="H43" authorId="1" shapeId="0">
      <text>
        <r>
          <rPr>
            <b/>
            <sz val="9"/>
            <color indexed="81"/>
            <rFont val="Tahoma"/>
            <family val="2"/>
          </rPr>
          <t>One of EE's DP is &lt; 18 yr old</t>
        </r>
        <r>
          <rPr>
            <sz val="9"/>
            <color indexed="81"/>
            <rFont val="Tahoma"/>
            <family val="2"/>
          </rPr>
          <t xml:space="preserve">
</t>
        </r>
      </text>
    </comment>
    <comment ref="A48" authorId="0" shapeId="0">
      <text>
        <r>
          <rPr>
            <b/>
            <sz val="8"/>
            <color indexed="81"/>
            <rFont val="Tahoma"/>
            <family val="2"/>
          </rPr>
          <t>lglasson:</t>
        </r>
        <r>
          <rPr>
            <sz val="8"/>
            <color indexed="81"/>
            <rFont val="Tahoma"/>
            <family val="2"/>
          </rPr>
          <t xml:space="preserve">
As per blueprint</t>
        </r>
      </text>
    </comment>
    <comment ref="A49" authorId="2" shapeId="0">
      <text>
        <r>
          <rPr>
            <b/>
            <sz val="9"/>
            <color indexed="81"/>
            <rFont val="Tahoma"/>
            <family val="2"/>
          </rPr>
          <t>Windows User:</t>
        </r>
        <r>
          <rPr>
            <sz val="9"/>
            <color indexed="81"/>
            <rFont val="Tahoma"/>
            <family val="2"/>
          </rPr>
          <t xml:space="preserve">
capping amount = 23,000,000</t>
        </r>
      </text>
    </comment>
    <comment ref="L49" authorId="1" shapeId="0">
      <text>
        <r>
          <rPr>
            <b/>
            <sz val="9"/>
            <color indexed="81"/>
            <rFont val="Tahoma"/>
            <family val="2"/>
          </rPr>
          <t>Insurance Base capped as 29,800,000</t>
        </r>
        <r>
          <rPr>
            <sz val="9"/>
            <color indexed="81"/>
            <rFont val="Tahoma"/>
            <family val="2"/>
          </rPr>
          <t xml:space="preserve">
</t>
        </r>
      </text>
    </comment>
    <comment ref="L50" authorId="1" shapeId="0">
      <text>
        <r>
          <rPr>
            <b/>
            <sz val="9"/>
            <color indexed="81"/>
            <rFont val="Tahoma"/>
            <family val="2"/>
          </rPr>
          <t>Insurance Base capped as 83,600,000</t>
        </r>
        <r>
          <rPr>
            <sz val="9"/>
            <color indexed="81"/>
            <rFont val="Tahoma"/>
            <family val="2"/>
          </rPr>
          <t xml:space="preserve">
</t>
        </r>
      </text>
    </comment>
    <comment ref="L51" authorId="1" shapeId="0">
      <text>
        <r>
          <rPr>
            <b/>
            <sz val="9"/>
            <color indexed="81"/>
            <rFont val="Tahoma"/>
            <family val="2"/>
          </rPr>
          <t>Insurance Base capped as 29,800,000</t>
        </r>
        <r>
          <rPr>
            <sz val="9"/>
            <color indexed="81"/>
            <rFont val="Tahoma"/>
            <family val="2"/>
          </rPr>
          <t xml:space="preserve">
</t>
        </r>
      </text>
    </comment>
    <comment ref="A65" authorId="2" shapeId="0">
      <text>
        <r>
          <rPr>
            <b/>
            <sz val="9"/>
            <color indexed="81"/>
            <rFont val="Tahoma"/>
            <family val="2"/>
          </rPr>
          <t>Windows User:</t>
        </r>
        <r>
          <rPr>
            <sz val="9"/>
            <color indexed="81"/>
            <rFont val="Tahoma"/>
            <family val="2"/>
          </rPr>
          <t xml:space="preserve">
capping amount = 23,000,000
</t>
        </r>
      </text>
    </comment>
    <comment ref="W74" authorId="0" shapeId="0">
      <text>
        <r>
          <rPr>
            <b/>
            <sz val="8"/>
            <color indexed="81"/>
            <rFont val="Tahoma"/>
            <family val="2"/>
          </rPr>
          <t>lglasson:</t>
        </r>
        <r>
          <rPr>
            <sz val="8"/>
            <color indexed="81"/>
            <rFont val="Tahoma"/>
            <family val="2"/>
          </rPr>
          <t xml:space="preserve">
Compulsory Field.
EE SAP number</t>
        </r>
      </text>
    </comment>
    <comment ref="X74" authorId="0" shapeId="0">
      <text>
        <r>
          <rPr>
            <b/>
            <sz val="8"/>
            <color indexed="81"/>
            <rFont val="Tahoma"/>
            <family val="2"/>
          </rPr>
          <t>lglasson:</t>
        </r>
        <r>
          <rPr>
            <sz val="8"/>
            <color indexed="81"/>
            <rFont val="Tahoma"/>
            <family val="2"/>
          </rPr>
          <t xml:space="preserve">
Compulsory Field.
dd.mm.yyyy</t>
        </r>
      </text>
    </comment>
    <comment ref="Y74" authorId="0" shapeId="0">
      <text>
        <r>
          <rPr>
            <b/>
            <sz val="8"/>
            <color indexed="81"/>
            <rFont val="Tahoma"/>
            <family val="2"/>
          </rPr>
          <t>lglasson:</t>
        </r>
        <r>
          <rPr>
            <sz val="8"/>
            <color indexed="81"/>
            <rFont val="Tahoma"/>
            <family val="2"/>
          </rPr>
          <t xml:space="preserve">
Compulsory Field.
dd.mm.yyyy</t>
        </r>
      </text>
    </comment>
    <comment ref="Z74" authorId="0" shapeId="0">
      <text>
        <r>
          <rPr>
            <b/>
            <sz val="8"/>
            <color indexed="81"/>
            <rFont val="Tahoma"/>
            <family val="2"/>
          </rPr>
          <t>lglasson:</t>
        </r>
        <r>
          <rPr>
            <sz val="8"/>
            <color indexed="81"/>
            <rFont val="Tahoma"/>
            <family val="2"/>
          </rPr>
          <t xml:space="preserve">
Compulsory Field.
4 characters</t>
        </r>
      </text>
    </comment>
    <comment ref="AA74" authorId="0" shapeId="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74" authorId="0" shapeId="0">
      <text>
        <r>
          <rPr>
            <b/>
            <sz val="8"/>
            <color indexed="81"/>
            <rFont val="Tahoma"/>
            <family val="2"/>
          </rPr>
          <t>lglasson:</t>
        </r>
        <r>
          <rPr>
            <sz val="8"/>
            <color indexed="81"/>
            <rFont val="Tahoma"/>
            <family val="2"/>
          </rPr>
          <t xml:space="preserve">
Up to 5 characters before numeric point</t>
        </r>
      </text>
    </comment>
    <comment ref="AC74" authorId="0" shapeId="0">
      <text>
        <r>
          <rPr>
            <b/>
            <sz val="8"/>
            <color indexed="81"/>
            <rFont val="Tahoma"/>
            <family val="2"/>
          </rPr>
          <t>lglasson:</t>
        </r>
        <r>
          <rPr>
            <sz val="8"/>
            <color indexed="81"/>
            <rFont val="Tahoma"/>
            <family val="2"/>
          </rPr>
          <t xml:space="preserve">
Inputs are:
Hours
Days
Weeks
Percent
Units
Months</t>
        </r>
      </text>
    </comment>
  </commentList>
</comments>
</file>

<file path=xl/comments8.xml><?xml version="1.0" encoding="utf-8"?>
<comments xmlns="http://schemas.openxmlformats.org/spreadsheetml/2006/main">
  <authors>
    <author>lglasson</author>
    <author>Windows User</author>
  </authors>
  <commentList>
    <comment ref="W22" authorId="0" shapeId="0">
      <text>
        <r>
          <rPr>
            <b/>
            <sz val="8"/>
            <color indexed="81"/>
            <rFont val="Tahoma"/>
            <family val="2"/>
          </rPr>
          <t>lglasson:</t>
        </r>
        <r>
          <rPr>
            <sz val="8"/>
            <color indexed="81"/>
            <rFont val="Tahoma"/>
            <family val="2"/>
          </rPr>
          <t xml:space="preserve">
Compulsory Field.
EE SAP number</t>
        </r>
      </text>
    </comment>
    <comment ref="X22" authorId="0" shapeId="0">
      <text>
        <r>
          <rPr>
            <b/>
            <sz val="8"/>
            <color indexed="81"/>
            <rFont val="Tahoma"/>
            <family val="2"/>
          </rPr>
          <t>lglasson:</t>
        </r>
        <r>
          <rPr>
            <sz val="8"/>
            <color indexed="81"/>
            <rFont val="Tahoma"/>
            <family val="2"/>
          </rPr>
          <t xml:space="preserve">
Compulsory Field.
dd.mm.yyyy</t>
        </r>
      </text>
    </comment>
    <comment ref="Y22" authorId="0" shapeId="0">
      <text>
        <r>
          <rPr>
            <b/>
            <sz val="8"/>
            <color indexed="81"/>
            <rFont val="Tahoma"/>
            <family val="2"/>
          </rPr>
          <t>lglasson:</t>
        </r>
        <r>
          <rPr>
            <sz val="8"/>
            <color indexed="81"/>
            <rFont val="Tahoma"/>
            <family val="2"/>
          </rPr>
          <t xml:space="preserve">
Compulsory Field.
dd.mm.yyyy</t>
        </r>
      </text>
    </comment>
    <comment ref="Z22" authorId="0" shapeId="0">
      <text>
        <r>
          <rPr>
            <b/>
            <sz val="8"/>
            <color indexed="81"/>
            <rFont val="Tahoma"/>
            <family val="2"/>
          </rPr>
          <t>lglasson:</t>
        </r>
        <r>
          <rPr>
            <sz val="8"/>
            <color indexed="81"/>
            <rFont val="Tahoma"/>
            <family val="2"/>
          </rPr>
          <t xml:space="preserve">
Compulsory Field.
4 characters</t>
        </r>
      </text>
    </comment>
    <comment ref="AA22" authorId="0" shapeId="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22" authorId="0" shapeId="0">
      <text>
        <r>
          <rPr>
            <b/>
            <sz val="8"/>
            <color indexed="81"/>
            <rFont val="Tahoma"/>
            <family val="2"/>
          </rPr>
          <t>lglasson:</t>
        </r>
        <r>
          <rPr>
            <sz val="8"/>
            <color indexed="81"/>
            <rFont val="Tahoma"/>
            <family val="2"/>
          </rPr>
          <t xml:space="preserve">
Up to 5 characters before numeric point</t>
        </r>
      </text>
    </comment>
    <comment ref="AC22" authorId="0" shapeId="0">
      <text>
        <r>
          <rPr>
            <b/>
            <sz val="8"/>
            <color indexed="81"/>
            <rFont val="Tahoma"/>
            <family val="2"/>
          </rPr>
          <t>lglasson:</t>
        </r>
        <r>
          <rPr>
            <sz val="8"/>
            <color indexed="81"/>
            <rFont val="Tahoma"/>
            <family val="2"/>
          </rPr>
          <t xml:space="preserve">
Inputs are:
Hours
Days
Weeks
Percent
Units
Months</t>
        </r>
      </text>
    </comment>
    <comment ref="A23" authorId="0" shapeId="0">
      <text>
        <r>
          <rPr>
            <b/>
            <sz val="8"/>
            <color indexed="81"/>
            <rFont val="Tahoma"/>
            <family val="2"/>
          </rPr>
          <t>lglasson:</t>
        </r>
        <r>
          <rPr>
            <sz val="8"/>
            <color indexed="81"/>
            <rFont val="Tahoma"/>
            <family val="2"/>
          </rPr>
          <t xml:space="preserve">
As per blueprint</t>
        </r>
      </text>
    </comment>
    <comment ref="A47" authorId="0" shapeId="0">
      <text>
        <r>
          <rPr>
            <b/>
            <sz val="8"/>
            <color indexed="81"/>
            <rFont val="Tahoma"/>
            <family val="2"/>
          </rPr>
          <t>lglasson:</t>
        </r>
        <r>
          <rPr>
            <sz val="8"/>
            <color indexed="81"/>
            <rFont val="Tahoma"/>
            <family val="2"/>
          </rPr>
          <t xml:space="preserve">
As per blueprint</t>
        </r>
      </text>
    </comment>
    <comment ref="A48" authorId="1" shapeId="0">
      <text>
        <r>
          <rPr>
            <b/>
            <sz val="9"/>
            <color indexed="81"/>
            <rFont val="Tahoma"/>
            <family val="2"/>
          </rPr>
          <t>Windows User:</t>
        </r>
        <r>
          <rPr>
            <sz val="9"/>
            <color indexed="81"/>
            <rFont val="Tahoma"/>
            <family val="2"/>
          </rPr>
          <t xml:space="preserve">
capping amount = 23,000,000</t>
        </r>
      </text>
    </comment>
    <comment ref="A69" authorId="1" shapeId="0">
      <text>
        <r>
          <rPr>
            <b/>
            <sz val="9"/>
            <color indexed="81"/>
            <rFont val="Tahoma"/>
            <family val="2"/>
          </rPr>
          <t>Windows User:</t>
        </r>
        <r>
          <rPr>
            <sz val="9"/>
            <color indexed="81"/>
            <rFont val="Tahoma"/>
            <family val="2"/>
          </rPr>
          <t xml:space="preserve">
capping amount = 23,000,000
</t>
        </r>
      </text>
    </comment>
    <comment ref="W82" authorId="0" shapeId="0">
      <text>
        <r>
          <rPr>
            <b/>
            <sz val="8"/>
            <color indexed="81"/>
            <rFont val="Tahoma"/>
            <family val="2"/>
          </rPr>
          <t>lglasson:</t>
        </r>
        <r>
          <rPr>
            <sz val="8"/>
            <color indexed="81"/>
            <rFont val="Tahoma"/>
            <family val="2"/>
          </rPr>
          <t xml:space="preserve">
Compulsory Field.
EE SAP number</t>
        </r>
      </text>
    </comment>
    <comment ref="X82" authorId="0" shapeId="0">
      <text>
        <r>
          <rPr>
            <b/>
            <sz val="8"/>
            <color indexed="81"/>
            <rFont val="Tahoma"/>
            <family val="2"/>
          </rPr>
          <t>lglasson:</t>
        </r>
        <r>
          <rPr>
            <sz val="8"/>
            <color indexed="81"/>
            <rFont val="Tahoma"/>
            <family val="2"/>
          </rPr>
          <t xml:space="preserve">
Compulsory Field.
dd.mm.yyyy</t>
        </r>
      </text>
    </comment>
    <comment ref="Y82" authorId="0" shapeId="0">
      <text>
        <r>
          <rPr>
            <b/>
            <sz val="8"/>
            <color indexed="81"/>
            <rFont val="Tahoma"/>
            <family val="2"/>
          </rPr>
          <t>lglasson:</t>
        </r>
        <r>
          <rPr>
            <sz val="8"/>
            <color indexed="81"/>
            <rFont val="Tahoma"/>
            <family val="2"/>
          </rPr>
          <t xml:space="preserve">
Compulsory Field.
dd.mm.yyyy</t>
        </r>
      </text>
    </comment>
    <comment ref="Z82" authorId="0" shapeId="0">
      <text>
        <r>
          <rPr>
            <b/>
            <sz val="8"/>
            <color indexed="81"/>
            <rFont val="Tahoma"/>
            <family val="2"/>
          </rPr>
          <t>lglasson:</t>
        </r>
        <r>
          <rPr>
            <sz val="8"/>
            <color indexed="81"/>
            <rFont val="Tahoma"/>
            <family val="2"/>
          </rPr>
          <t xml:space="preserve">
Compulsory Field.
4 characters</t>
        </r>
      </text>
    </comment>
    <comment ref="AA82" authorId="0" shapeId="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82" authorId="0" shapeId="0">
      <text>
        <r>
          <rPr>
            <b/>
            <sz val="8"/>
            <color indexed="81"/>
            <rFont val="Tahoma"/>
            <family val="2"/>
          </rPr>
          <t>lglasson:</t>
        </r>
        <r>
          <rPr>
            <sz val="8"/>
            <color indexed="81"/>
            <rFont val="Tahoma"/>
            <family val="2"/>
          </rPr>
          <t xml:space="preserve">
Up to 5 characters before numeric point</t>
        </r>
      </text>
    </comment>
    <comment ref="AC82" authorId="0" shapeId="0">
      <text>
        <r>
          <rPr>
            <b/>
            <sz val="8"/>
            <color indexed="81"/>
            <rFont val="Tahoma"/>
            <family val="2"/>
          </rPr>
          <t>lglasson:</t>
        </r>
        <r>
          <rPr>
            <sz val="8"/>
            <color indexed="81"/>
            <rFont val="Tahoma"/>
            <family val="2"/>
          </rPr>
          <t xml:space="preserve">
Inputs are:
Hours
Days
Weeks
Percent
Units
Months</t>
        </r>
      </text>
    </comment>
  </commentList>
</comments>
</file>

<file path=xl/comments9.xml><?xml version="1.0" encoding="utf-8"?>
<comments xmlns="http://schemas.openxmlformats.org/spreadsheetml/2006/main">
  <authors>
    <author>lglasson</author>
    <author>Windows User</author>
  </authors>
  <commentList>
    <comment ref="W22" authorId="0" shapeId="0">
      <text>
        <r>
          <rPr>
            <b/>
            <sz val="8"/>
            <color indexed="81"/>
            <rFont val="Tahoma"/>
            <family val="2"/>
          </rPr>
          <t>lglasson:</t>
        </r>
        <r>
          <rPr>
            <sz val="8"/>
            <color indexed="81"/>
            <rFont val="Tahoma"/>
            <family val="2"/>
          </rPr>
          <t xml:space="preserve">
Compulsory Field.
EE SAP number</t>
        </r>
      </text>
    </comment>
    <comment ref="X22" authorId="0" shapeId="0">
      <text>
        <r>
          <rPr>
            <b/>
            <sz val="8"/>
            <color indexed="81"/>
            <rFont val="Tahoma"/>
            <family val="2"/>
          </rPr>
          <t>lglasson:</t>
        </r>
        <r>
          <rPr>
            <sz val="8"/>
            <color indexed="81"/>
            <rFont val="Tahoma"/>
            <family val="2"/>
          </rPr>
          <t xml:space="preserve">
Compulsory Field.
dd.mm.yyyy</t>
        </r>
      </text>
    </comment>
    <comment ref="Y22" authorId="0" shapeId="0">
      <text>
        <r>
          <rPr>
            <b/>
            <sz val="8"/>
            <color indexed="81"/>
            <rFont val="Tahoma"/>
            <family val="2"/>
          </rPr>
          <t>lglasson:</t>
        </r>
        <r>
          <rPr>
            <sz val="8"/>
            <color indexed="81"/>
            <rFont val="Tahoma"/>
            <family val="2"/>
          </rPr>
          <t xml:space="preserve">
Compulsory Field.
dd.mm.yyyy</t>
        </r>
      </text>
    </comment>
    <comment ref="Z22" authorId="0" shapeId="0">
      <text>
        <r>
          <rPr>
            <b/>
            <sz val="8"/>
            <color indexed="81"/>
            <rFont val="Tahoma"/>
            <family val="2"/>
          </rPr>
          <t>lglasson:</t>
        </r>
        <r>
          <rPr>
            <sz val="8"/>
            <color indexed="81"/>
            <rFont val="Tahoma"/>
            <family val="2"/>
          </rPr>
          <t xml:space="preserve">
Compulsory Field.
4 characters</t>
        </r>
      </text>
    </comment>
    <comment ref="AA22" authorId="0" shapeId="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22" authorId="0" shapeId="0">
      <text>
        <r>
          <rPr>
            <b/>
            <sz val="8"/>
            <color indexed="81"/>
            <rFont val="Tahoma"/>
            <family val="2"/>
          </rPr>
          <t>lglasson:</t>
        </r>
        <r>
          <rPr>
            <sz val="8"/>
            <color indexed="81"/>
            <rFont val="Tahoma"/>
            <family val="2"/>
          </rPr>
          <t xml:space="preserve">
Up to 5 characters before numeric point</t>
        </r>
      </text>
    </comment>
    <comment ref="AC22" authorId="0" shapeId="0">
      <text>
        <r>
          <rPr>
            <b/>
            <sz val="8"/>
            <color indexed="81"/>
            <rFont val="Tahoma"/>
            <family val="2"/>
          </rPr>
          <t>lglasson:</t>
        </r>
        <r>
          <rPr>
            <sz val="8"/>
            <color indexed="81"/>
            <rFont val="Tahoma"/>
            <family val="2"/>
          </rPr>
          <t xml:space="preserve">
Inputs are:
Hours
Days
Weeks
Percent
Units
Months</t>
        </r>
      </text>
    </comment>
    <comment ref="A23" authorId="0" shapeId="0">
      <text>
        <r>
          <rPr>
            <b/>
            <sz val="8"/>
            <color indexed="81"/>
            <rFont val="Tahoma"/>
            <family val="2"/>
          </rPr>
          <t>lglasson:</t>
        </r>
        <r>
          <rPr>
            <sz val="8"/>
            <color indexed="81"/>
            <rFont val="Tahoma"/>
            <family val="2"/>
          </rPr>
          <t xml:space="preserve">
As per blueprint</t>
        </r>
      </text>
    </comment>
    <comment ref="A46" authorId="0" shapeId="0">
      <text>
        <r>
          <rPr>
            <b/>
            <sz val="8"/>
            <color indexed="81"/>
            <rFont val="Tahoma"/>
            <family val="2"/>
          </rPr>
          <t>lglasson:</t>
        </r>
        <r>
          <rPr>
            <sz val="8"/>
            <color indexed="81"/>
            <rFont val="Tahoma"/>
            <family val="2"/>
          </rPr>
          <t xml:space="preserve">
As per blueprint</t>
        </r>
      </text>
    </comment>
    <comment ref="A47" authorId="1" shapeId="0">
      <text>
        <r>
          <rPr>
            <b/>
            <sz val="9"/>
            <color indexed="81"/>
            <rFont val="Tahoma"/>
            <family val="2"/>
          </rPr>
          <t>Windows User:</t>
        </r>
        <r>
          <rPr>
            <sz val="9"/>
            <color indexed="81"/>
            <rFont val="Tahoma"/>
            <family val="2"/>
          </rPr>
          <t xml:space="preserve">
capping amount = 23,000,000</t>
        </r>
      </text>
    </comment>
    <comment ref="A62" authorId="1" shapeId="0">
      <text>
        <r>
          <rPr>
            <b/>
            <sz val="9"/>
            <color indexed="81"/>
            <rFont val="Tahoma"/>
            <family val="2"/>
          </rPr>
          <t>Windows User:</t>
        </r>
        <r>
          <rPr>
            <sz val="9"/>
            <color indexed="81"/>
            <rFont val="Tahoma"/>
            <family val="2"/>
          </rPr>
          <t xml:space="preserve">
capping amount = 23,000,000
</t>
        </r>
      </text>
    </comment>
    <comment ref="W71" authorId="0" shapeId="0">
      <text>
        <r>
          <rPr>
            <b/>
            <sz val="8"/>
            <color indexed="81"/>
            <rFont val="Tahoma"/>
            <family val="2"/>
          </rPr>
          <t>lglasson:</t>
        </r>
        <r>
          <rPr>
            <sz val="8"/>
            <color indexed="81"/>
            <rFont val="Tahoma"/>
            <family val="2"/>
          </rPr>
          <t xml:space="preserve">
Compulsory Field.
EE SAP number</t>
        </r>
      </text>
    </comment>
    <comment ref="X71" authorId="0" shapeId="0">
      <text>
        <r>
          <rPr>
            <b/>
            <sz val="8"/>
            <color indexed="81"/>
            <rFont val="Tahoma"/>
            <family val="2"/>
          </rPr>
          <t>lglasson:</t>
        </r>
        <r>
          <rPr>
            <sz val="8"/>
            <color indexed="81"/>
            <rFont val="Tahoma"/>
            <family val="2"/>
          </rPr>
          <t xml:space="preserve">
Compulsory Field.
dd.mm.yyyy</t>
        </r>
      </text>
    </comment>
    <comment ref="Y71" authorId="0" shapeId="0">
      <text>
        <r>
          <rPr>
            <b/>
            <sz val="8"/>
            <color indexed="81"/>
            <rFont val="Tahoma"/>
            <family val="2"/>
          </rPr>
          <t>lglasson:</t>
        </r>
        <r>
          <rPr>
            <sz val="8"/>
            <color indexed="81"/>
            <rFont val="Tahoma"/>
            <family val="2"/>
          </rPr>
          <t xml:space="preserve">
Compulsory Field.
dd.mm.yyyy</t>
        </r>
      </text>
    </comment>
    <comment ref="Z71" authorId="0" shapeId="0">
      <text>
        <r>
          <rPr>
            <b/>
            <sz val="8"/>
            <color indexed="81"/>
            <rFont val="Tahoma"/>
            <family val="2"/>
          </rPr>
          <t>lglasson:</t>
        </r>
        <r>
          <rPr>
            <sz val="8"/>
            <color indexed="81"/>
            <rFont val="Tahoma"/>
            <family val="2"/>
          </rPr>
          <t xml:space="preserve">
Compulsory Field.
4 characters</t>
        </r>
      </text>
    </comment>
    <comment ref="AA71" authorId="0" shapeId="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71" authorId="0" shapeId="0">
      <text>
        <r>
          <rPr>
            <b/>
            <sz val="8"/>
            <color indexed="81"/>
            <rFont val="Tahoma"/>
            <family val="2"/>
          </rPr>
          <t>lglasson:</t>
        </r>
        <r>
          <rPr>
            <sz val="8"/>
            <color indexed="81"/>
            <rFont val="Tahoma"/>
            <family val="2"/>
          </rPr>
          <t xml:space="preserve">
Up to 5 characters before numeric point</t>
        </r>
      </text>
    </comment>
    <comment ref="AC71" authorId="0" shapeId="0">
      <text>
        <r>
          <rPr>
            <b/>
            <sz val="8"/>
            <color indexed="81"/>
            <rFont val="Tahoma"/>
            <family val="2"/>
          </rPr>
          <t>lglasson:</t>
        </r>
        <r>
          <rPr>
            <sz val="8"/>
            <color indexed="81"/>
            <rFont val="Tahoma"/>
            <family val="2"/>
          </rPr>
          <t xml:space="preserve">
Inputs are:
Hours
Days
Weeks
Percent
Units
Months</t>
        </r>
      </text>
    </comment>
  </commentList>
</comments>
</file>

<file path=xl/sharedStrings.xml><?xml version="1.0" encoding="utf-8"?>
<sst xmlns="http://schemas.openxmlformats.org/spreadsheetml/2006/main" count="6917" uniqueCount="1297">
  <si>
    <t>0015</t>
  </si>
  <si>
    <t>0008</t>
  </si>
  <si>
    <t>0014</t>
  </si>
  <si>
    <t>EE Group</t>
  </si>
  <si>
    <t>Total Deductions</t>
  </si>
  <si>
    <t>NET PAY</t>
  </si>
  <si>
    <t>ADP User Acceptance Testing</t>
  </si>
  <si>
    <t>SAP Field</t>
  </si>
  <si>
    <t>Personnel  Area</t>
  </si>
  <si>
    <t>EE Subgroup</t>
  </si>
  <si>
    <t>Pers Subarea</t>
  </si>
  <si>
    <t>Payroll Area</t>
  </si>
  <si>
    <t>Position</t>
  </si>
  <si>
    <t>Form of addr</t>
  </si>
  <si>
    <t>Last Name</t>
  </si>
  <si>
    <t>First Name</t>
  </si>
  <si>
    <t>Nationality</t>
  </si>
  <si>
    <t>W/Sch. Rule</t>
  </si>
  <si>
    <t>Wage Type 01</t>
  </si>
  <si>
    <t>Amount 01</t>
  </si>
  <si>
    <t>Bank Key</t>
  </si>
  <si>
    <t>Acc. Number</t>
  </si>
  <si>
    <t>Date 01</t>
  </si>
  <si>
    <t>ID Number</t>
  </si>
  <si>
    <t>Abs. Type 1</t>
  </si>
  <si>
    <t>Start Date 1</t>
  </si>
  <si>
    <t>End Date 1</t>
  </si>
  <si>
    <t>Abs. Type 2</t>
  </si>
  <si>
    <t>Start Date 2</t>
  </si>
  <si>
    <t>End Date 2</t>
  </si>
  <si>
    <t>Abs. Type 3</t>
  </si>
  <si>
    <t>Start Date 3</t>
  </si>
  <si>
    <t>End Date 3</t>
  </si>
  <si>
    <t>Info Type No</t>
  </si>
  <si>
    <t>EE No. 1</t>
  </si>
  <si>
    <t>EE No. 2</t>
  </si>
  <si>
    <t>EE No. 3</t>
  </si>
  <si>
    <t>EE No. 4</t>
  </si>
  <si>
    <t>EE No. 5</t>
  </si>
  <si>
    <t>EE No. 6</t>
  </si>
  <si>
    <t>EE No. 7</t>
  </si>
  <si>
    <t>EE No. 8</t>
  </si>
  <si>
    <t>EE No. 9</t>
  </si>
  <si>
    <t>EE No. 10</t>
  </si>
  <si>
    <t>EE No. 11</t>
  </si>
  <si>
    <t>EE No. 12</t>
  </si>
  <si>
    <t>EE No. 13</t>
  </si>
  <si>
    <t>EE No. 14</t>
  </si>
  <si>
    <t>Company Code</t>
  </si>
  <si>
    <t>0007</t>
  </si>
  <si>
    <t>0009</t>
  </si>
  <si>
    <t>0185</t>
  </si>
  <si>
    <t>Expected Results</t>
  </si>
  <si>
    <t>EE Payments</t>
  </si>
  <si>
    <t>Amnt P/M</t>
  </si>
  <si>
    <t>Wage Type Description</t>
  </si>
  <si>
    <t>Wage Type</t>
  </si>
  <si>
    <t>Info Type</t>
  </si>
  <si>
    <t>Number</t>
  </si>
  <si>
    <t>Unit</t>
  </si>
  <si>
    <t>EE Deductions</t>
  </si>
  <si>
    <t>Total Payments</t>
  </si>
  <si>
    <t>Employer Information</t>
  </si>
  <si>
    <t>EE Notational Details</t>
  </si>
  <si>
    <t>Year Tested</t>
  </si>
  <si>
    <t>Test Input</t>
  </si>
  <si>
    <t>New Hire Information &amp; Test Input</t>
  </si>
  <si>
    <t>EE Number</t>
  </si>
  <si>
    <t>Enter test data relating to IT0014</t>
  </si>
  <si>
    <t>Start Date</t>
  </si>
  <si>
    <t>End Date</t>
  </si>
  <si>
    <t>Amount</t>
  </si>
  <si>
    <t>Time Mgmt</t>
  </si>
  <si>
    <t>Pay Method</t>
  </si>
  <si>
    <t>Date Type 02</t>
  </si>
  <si>
    <t>Date Type 01</t>
  </si>
  <si>
    <t>Date 02</t>
  </si>
  <si>
    <t>Date Type 03</t>
  </si>
  <si>
    <t>Date 03</t>
  </si>
  <si>
    <t>Employee ID</t>
  </si>
  <si>
    <t>City</t>
  </si>
  <si>
    <t>0006</t>
  </si>
  <si>
    <t>Address Type</t>
  </si>
  <si>
    <t>Nhire (0001)</t>
  </si>
  <si>
    <t>Nhire (0002)</t>
  </si>
  <si>
    <t>Nhire (0041)</t>
  </si>
  <si>
    <t>Nhire (0000)</t>
  </si>
  <si>
    <t>Gender Key</t>
  </si>
  <si>
    <t>Date of Birth</t>
  </si>
  <si>
    <t>Type of ID</t>
  </si>
  <si>
    <t>Monthly Specific Entry Only</t>
  </si>
  <si>
    <t>Authored</t>
  </si>
  <si>
    <t>Approved</t>
  </si>
  <si>
    <t>Next Review Date</t>
  </si>
  <si>
    <t>Version</t>
  </si>
  <si>
    <t>Date</t>
  </si>
  <si>
    <t>Amendment Details</t>
  </si>
  <si>
    <t>Comment</t>
  </si>
  <si>
    <t>VERSION CONTROL</t>
  </si>
  <si>
    <t>Initial Draft released to Client</t>
  </si>
  <si>
    <t>WAGETYPE LOCATION - Where and When being Tested</t>
  </si>
  <si>
    <t>WageType Code</t>
  </si>
  <si>
    <t>WageType Text</t>
  </si>
  <si>
    <t>Infotype</t>
  </si>
  <si>
    <t>Payroll Period</t>
  </si>
  <si>
    <t>Tested - Description</t>
  </si>
  <si>
    <t>Payment</t>
  </si>
  <si>
    <t>Dependants</t>
  </si>
  <si>
    <t>SI Unemployment</t>
  </si>
  <si>
    <t>SI Health Isurance</t>
  </si>
  <si>
    <t>Vietnam</t>
  </si>
  <si>
    <t>/400 Taxation</t>
  </si>
  <si>
    <t>0021</t>
  </si>
  <si>
    <t>/492 Dependant Tax Exemption</t>
  </si>
  <si>
    <t>/491 EE Personal Tax Exemption</t>
  </si>
  <si>
    <t>Client</t>
  </si>
  <si>
    <t>Country</t>
  </si>
  <si>
    <t>ADP Tester</t>
  </si>
  <si>
    <t>Document Reference</t>
  </si>
  <si>
    <t>Testing of New Hires, Proration and Info Types 0008 and 0014</t>
  </si>
  <si>
    <t>Adobe® is a registered trademark and Acrobat(TM) is a trademark of Adobe Systems Incorporated. 
Microsoft®, Windows®, Internet Explorer®, Word®, and Excel® are registered trademarks of Microsoft Corporation.
SAP® and SAP® R/3® are registered trademarks of SAP AG in Germany and in several other countries.
All other trademarks and service marks are the property of their respective owners.</t>
  </si>
  <si>
    <t>Third-Party Trademarks</t>
  </si>
  <si>
    <t>Copyright and Confidentiality</t>
  </si>
  <si>
    <t xml:space="preserve">CRM ticket </t>
  </si>
  <si>
    <t>Amendments and Authorizations</t>
  </si>
  <si>
    <t>24/10/2011
Cherie Manarch
GVAA0036</t>
  </si>
  <si>
    <t>2016/02/02
Cherie Manarch
GVAA0036</t>
  </si>
  <si>
    <t>2016/02/02
Roy Wynes</t>
  </si>
  <si>
    <r>
      <t>Copyright © 2011, 2016 ADP, LLC. ADP Proprietary and Confidential - All Rights Reserved. These materials may not be reproduced in any format without the express written permission of ADP, LLC. This document must be kept strictly confidential at all times. It must not be disclosed to any person without the prior written consent of ADP, LLC. 
ADP provides this publication "as is" without warranty of any kind, either express or implied, including, but not limited to, the implied warranties of merchantability or fitness for a particular purpose. ADP is not responsible for any technical inaccuracies or typographical errors which may be contained in this publication. Changes are periodically made to the information herein, and such changes will be incorporated in new editions of this publication. ADP may make improvements and/or changes in the product and/or the programs described in this publication at any time without notice.
The ADP® logo and ADP® letters are registered trademarks of ADP, LLC. GlobalView® is a registered trademark of ADP, LLC. iLearn@ADP® is a registered trademark of ADP, LLC. ADP A more human resource</t>
    </r>
    <r>
      <rPr>
        <vertAlign val="superscript"/>
        <sz val="8"/>
        <color theme="1"/>
        <rFont val="Arial"/>
        <family val="2"/>
      </rPr>
      <t>(SM)</t>
    </r>
    <r>
      <rPr>
        <sz val="8"/>
        <rFont val="Arial"/>
        <family val="2"/>
      </rPr>
      <t>. is a service mark of ADP, LLC.</t>
    </r>
  </si>
  <si>
    <t>GV00009475</t>
  </si>
  <si>
    <t>Diana Hope
GVAA0188</t>
  </si>
  <si>
    <t>cyclestatus</t>
  </si>
  <si>
    <t>crmstatus</t>
  </si>
  <si>
    <t>UAT Period</t>
  </si>
  <si>
    <t>Status</t>
  </si>
  <si>
    <t>Planned</t>
  </si>
  <si>
    <t>Actual</t>
  </si>
  <si>
    <t>CRM Ticket No.</t>
  </si>
  <si>
    <t>CRM Status</t>
  </si>
  <si>
    <t>Not Started</t>
  </si>
  <si>
    <t>OPEN</t>
  </si>
  <si>
    <t>In Progress</t>
  </si>
  <si>
    <t>CLOSED</t>
  </si>
  <si>
    <t>Completed</t>
  </si>
  <si>
    <t xml:space="preserve">Cycle </t>
  </si>
  <si>
    <t xml:space="preserve">Period </t>
  </si>
  <si>
    <t>Cycle Status</t>
  </si>
  <si>
    <t>Release (Date)</t>
  </si>
  <si>
    <t>Sign Off (Date)</t>
  </si>
  <si>
    <t xml:space="preserve">Days </t>
  </si>
  <si>
    <t xml:space="preserve">Trial </t>
  </si>
  <si>
    <t>Release (Time)</t>
  </si>
  <si>
    <t>Sign Off (Time)</t>
  </si>
  <si>
    <t>Conditional  Y / N</t>
  </si>
  <si>
    <t>UAT1</t>
  </si>
  <si>
    <t>JAN</t>
  </si>
  <si>
    <t>UAT2</t>
  </si>
  <si>
    <t>FEB</t>
  </si>
  <si>
    <t>UAT3</t>
  </si>
  <si>
    <t>MAR</t>
  </si>
  <si>
    <t>UAT4</t>
  </si>
  <si>
    <t>APR</t>
  </si>
  <si>
    <t>UAT5</t>
  </si>
  <si>
    <t>MAY</t>
  </si>
  <si>
    <t>UAT6</t>
  </si>
  <si>
    <t>JUN</t>
  </si>
  <si>
    <t>UAT7</t>
  </si>
  <si>
    <t>JUL</t>
  </si>
  <si>
    <t>UAT8</t>
  </si>
  <si>
    <t>AUG</t>
  </si>
  <si>
    <t>UAT9</t>
  </si>
  <si>
    <t>SEP</t>
  </si>
  <si>
    <t>UAT10</t>
  </si>
  <si>
    <t>OCT</t>
  </si>
  <si>
    <t>UAT11</t>
  </si>
  <si>
    <t>NOV</t>
  </si>
  <si>
    <t>UAT12</t>
  </si>
  <si>
    <t>DEC</t>
  </si>
  <si>
    <t>issuecat</t>
  </si>
  <si>
    <t>issstatus</t>
  </si>
  <si>
    <t>Config</t>
  </si>
  <si>
    <t xml:space="preserve">Open </t>
  </si>
  <si>
    <t>Clarification</t>
  </si>
  <si>
    <t>Closed</t>
  </si>
  <si>
    <t>Issue Log No.</t>
  </si>
  <si>
    <t>Date Raised</t>
  </si>
  <si>
    <t>Cycle</t>
  </si>
  <si>
    <t>Period</t>
  </si>
  <si>
    <t>Short Description</t>
  </si>
  <si>
    <t>Category</t>
  </si>
  <si>
    <t xml:space="preserve">Status </t>
  </si>
  <si>
    <t xml:space="preserve">Owner </t>
  </si>
  <si>
    <t>Detailed Description</t>
  </si>
  <si>
    <t>Change Request Y/N</t>
  </si>
  <si>
    <t xml:space="preserve">Date Issue Resolved/Closed </t>
  </si>
  <si>
    <t>New Request CR</t>
  </si>
  <si>
    <t>Jan</t>
  </si>
  <si>
    <t>N</t>
  </si>
  <si>
    <t>Master Data</t>
  </si>
  <si>
    <t>Other</t>
  </si>
  <si>
    <t>Index List</t>
  </si>
  <si>
    <t>indexcategory</t>
  </si>
  <si>
    <t>Sc.No.</t>
  </si>
  <si>
    <t>MD</t>
  </si>
  <si>
    <t>TRN</t>
  </si>
  <si>
    <t>Active EEs</t>
  </si>
  <si>
    <t>X</t>
  </si>
  <si>
    <t>ERInf-Accr</t>
  </si>
  <si>
    <t>MasterData Assign start date early in month</t>
  </si>
  <si>
    <t>RPT</t>
  </si>
  <si>
    <t>MasterData Assign start date mid month</t>
  </si>
  <si>
    <t>MasterData Assign start date late in month</t>
  </si>
  <si>
    <t>MasterData Assign Basic Pay - IT0008  Salary, Weekly Hrly,  Casual Hrly etc</t>
  </si>
  <si>
    <t>MasterData Assign Company Codes - IT0001</t>
  </si>
  <si>
    <t>MasterData Assign Personal Areas - IT0001</t>
  </si>
  <si>
    <t>MasterData Assign Personal Sub Areas - IT0001</t>
  </si>
  <si>
    <t>MasterData Assign EE Group Structure IT0001 - Perm, Temp, FullTime, Casual, Inpat, Expat</t>
  </si>
  <si>
    <t>MasterData Assign EE Sub Group - IT0001 controls wage type, wrk Schedule, time quota etc</t>
  </si>
  <si>
    <t>MasterData Assign Main Bank Account with "T" Transfer - IT0009</t>
  </si>
  <si>
    <t>MasterData Assign Work Schedules: - IT0007 incorps Holiday Calendar</t>
  </si>
  <si>
    <t>MasterData Assign Dates - IT0041 eg Country Hire date, Company Hire Date, AL anniversary Date etc</t>
  </si>
  <si>
    <t>MasterData Assign Legacy ID - IT0709</t>
  </si>
  <si>
    <t>MasterData Assign Absence Quota Hours - IT2006  eg  AL, LSL, Personal Lve hrs</t>
  </si>
  <si>
    <t>Pro ration Rules,  New hire</t>
  </si>
  <si>
    <t>Pro ration Rules  Termination</t>
  </si>
  <si>
    <t>Pro ration Rules   Unpaid leave</t>
  </si>
  <si>
    <t xml:space="preserve">Pro Ration Rules  Allowance wage types </t>
  </si>
  <si>
    <t>Payment Wage Types - Recurring - IT0014 - min 2 period check, unless required</t>
  </si>
  <si>
    <t>Payment Wage Types - Additional - IT0015</t>
  </si>
  <si>
    <t>Payment Pro ration Wage Types eg Allowances</t>
  </si>
  <si>
    <t>Payment Time Quota Compensation - IT0416</t>
  </si>
  <si>
    <t>Negate Net Pay - using WT 7850</t>
  </si>
  <si>
    <t>Deduction Wage Types - Recurring - IT0014</t>
  </si>
  <si>
    <t>Deduction Wage Types - Additional - IT0015</t>
  </si>
  <si>
    <t>Claim -  generate a claim (/563) deduction &gt; income</t>
  </si>
  <si>
    <t>Hourly rates of Pay  /001</t>
  </si>
  <si>
    <t>Hourly rates of Pay  /002</t>
  </si>
  <si>
    <t>Hourly rates of Pay  /003</t>
  </si>
  <si>
    <t>Leave - Accrual - A/L, Personal, LSL</t>
  </si>
  <si>
    <t>Leave - Reduction for Certain Leave</t>
  </si>
  <si>
    <t>Transfer - Mid Month</t>
  </si>
  <si>
    <t>Leave - Paid</t>
  </si>
  <si>
    <t>Leave - Unpaid</t>
  </si>
  <si>
    <t>Leave Encashment</t>
  </si>
  <si>
    <t>Retrospective - Salary</t>
  </si>
  <si>
    <t>Retrospective - O'time</t>
  </si>
  <si>
    <t xml:space="preserve">Salary Increase </t>
  </si>
  <si>
    <t>Bonus Payment Post termination</t>
  </si>
  <si>
    <t>Rehire -  Rehire a terminated employee</t>
  </si>
  <si>
    <t>Tax - Calculation of Tax paid by ER based on Gross Up</t>
  </si>
  <si>
    <t>Statutory Reports</t>
  </si>
  <si>
    <t>Year End Individual Income Tax Declaration Report</t>
  </si>
  <si>
    <t>Accumulations: check all relevant /1xx wage types</t>
  </si>
  <si>
    <t>VN001014</t>
  </si>
  <si>
    <t>VN001013</t>
  </si>
  <si>
    <t>VN001012</t>
  </si>
  <si>
    <t>VN001011</t>
  </si>
  <si>
    <t>VN001010</t>
  </si>
  <si>
    <t>VN001009</t>
  </si>
  <si>
    <t>VN001008</t>
  </si>
  <si>
    <t>VN001007</t>
  </si>
  <si>
    <t>VN001006</t>
  </si>
  <si>
    <t>VN001005</t>
  </si>
  <si>
    <t>VN001004</t>
  </si>
  <si>
    <t>VN001003</t>
  </si>
  <si>
    <t>VN001002</t>
  </si>
  <si>
    <t>VN001001</t>
  </si>
  <si>
    <t>MasterData Assign Family/Member Dependants - IT0021</t>
  </si>
  <si>
    <t>MasterData Assign Personal ID - IT0185</t>
  </si>
  <si>
    <t>MasterData Assign Personal Income Tax IT 9520</t>
  </si>
  <si>
    <t>MasterData Assign Additional Information - IT 9522 (0021)</t>
  </si>
  <si>
    <t>MasterData Assign Social Insurance - IT 9521</t>
  </si>
  <si>
    <t>MasterData Assign Vietnam SI History - IT 9523</t>
  </si>
  <si>
    <t>Index List Total</t>
  </si>
  <si>
    <t>Total Scenarios</t>
  </si>
  <si>
    <t>UAT</t>
  </si>
  <si>
    <t>Month</t>
  </si>
  <si>
    <t>Completed Y/N</t>
  </si>
  <si>
    <t>Scenarios part of Master Data</t>
  </si>
  <si>
    <t>Scenarios part of Transactional Data</t>
  </si>
  <si>
    <t>Scenarios ER Information/Accruals</t>
  </si>
  <si>
    <t>Scenarios Stat/YearEnd Reporting</t>
  </si>
  <si>
    <t>Total</t>
  </si>
  <si>
    <t>WTinfotype</t>
  </si>
  <si>
    <t>WTtype</t>
  </si>
  <si>
    <t>Type</t>
  </si>
  <si>
    <t>Deduction</t>
  </si>
  <si>
    <t>Notational</t>
  </si>
  <si>
    <t>0267</t>
  </si>
  <si>
    <t>Paid Leave</t>
  </si>
  <si>
    <t>0416</t>
  </si>
  <si>
    <t>Unpaid Leave</t>
  </si>
  <si>
    <t>2001</t>
  </si>
  <si>
    <t>Override</t>
  </si>
  <si>
    <t>2010</t>
  </si>
  <si>
    <t>EE Contribution</t>
  </si>
  <si>
    <t>Auto Generate</t>
  </si>
  <si>
    <t>ER Information</t>
  </si>
  <si>
    <t>0709</t>
  </si>
  <si>
    <t>Personal ID</t>
  </si>
  <si>
    <t>Emp1</t>
  </si>
  <si>
    <t>Emp2</t>
  </si>
  <si>
    <t>Emp3</t>
  </si>
  <si>
    <t>Emp4</t>
  </si>
  <si>
    <t>Emp5</t>
  </si>
  <si>
    <t>Emp6</t>
  </si>
  <si>
    <t>Emp7</t>
  </si>
  <si>
    <t>Emp8</t>
  </si>
  <si>
    <t>Emp9</t>
  </si>
  <si>
    <t>Emp10</t>
  </si>
  <si>
    <t>Emp11</t>
  </si>
  <si>
    <t>Emp12</t>
  </si>
  <si>
    <t>Emp13</t>
  </si>
  <si>
    <t>Emp14</t>
  </si>
  <si>
    <t xml:space="preserve">One </t>
  </si>
  <si>
    <t>Two</t>
  </si>
  <si>
    <t>Three</t>
  </si>
  <si>
    <t>Four</t>
  </si>
  <si>
    <t>Five</t>
  </si>
  <si>
    <t>Six</t>
  </si>
  <si>
    <t>Seven</t>
  </si>
  <si>
    <t>Eight</t>
  </si>
  <si>
    <t>Nine</t>
  </si>
  <si>
    <t>Ten</t>
  </si>
  <si>
    <t>Eleven</t>
  </si>
  <si>
    <t>Twelve</t>
  </si>
  <si>
    <t>Thirteen</t>
  </si>
  <si>
    <t>Fourteen</t>
  </si>
  <si>
    <t>Severance Payment calculation</t>
  </si>
  <si>
    <t>Tax-Dependent retro Calculation</t>
  </si>
  <si>
    <t xml:space="preserve">13th month salary(if applicable)-check total calendar days 366/365 </t>
  </si>
  <si>
    <t>HI contribution- if EE's last working day is the last day of the month</t>
  </si>
  <si>
    <t>Year End Reconciliation - refer VN YE Preperation manual</t>
  </si>
  <si>
    <t>UAT Schedule</t>
  </si>
  <si>
    <t>UAT Issue Log</t>
  </si>
  <si>
    <t>Summary</t>
  </si>
  <si>
    <t>Comments / Action</t>
  </si>
  <si>
    <t xml:space="preserve">Tab </t>
  </si>
  <si>
    <t>New Hire</t>
  </si>
  <si>
    <t xml:space="preserve">New Hire details which includes hire date, legal entity, personnel area and all other relevant data required to setup the employee for testing. Back dated and future new hires tested                                            </t>
  </si>
  <si>
    <t>UAT1 - Jan</t>
  </si>
  <si>
    <t>UAT2 - Feb</t>
  </si>
  <si>
    <t>UAT3 - Mar</t>
  </si>
  <si>
    <t>UAT4 - Apr</t>
  </si>
  <si>
    <t>UAT5 - May</t>
  </si>
  <si>
    <t>UAT6 - Jun</t>
  </si>
  <si>
    <t>UAT7 - Jul</t>
  </si>
  <si>
    <t>UAT8 - Aug</t>
  </si>
  <si>
    <t>UAT9 - Sep</t>
  </si>
  <si>
    <t>UAT10 - Oct</t>
  </si>
  <si>
    <t>UAT11 -Nov</t>
  </si>
  <si>
    <t>UAT12 - Dec</t>
  </si>
  <si>
    <t>Issue Log Summary</t>
  </si>
  <si>
    <t xml:space="preserve">Config </t>
  </si>
  <si>
    <t xml:space="preserve">UAT </t>
  </si>
  <si>
    <t>UAT Schedule TAB</t>
  </si>
  <si>
    <t>UAT Issue Log TAB</t>
  </si>
  <si>
    <t>Index List TAB</t>
  </si>
  <si>
    <t>Wage Type Location TAB</t>
  </si>
  <si>
    <t>Weighted %</t>
  </si>
  <si>
    <t>If Yes % Completed</t>
  </si>
  <si>
    <t>Copy from Cell "C51" down as required</t>
  </si>
  <si>
    <t>The following gives a high level overview of activities that would occur in readiness for parallel</t>
  </si>
  <si>
    <t xml:space="preserve">For detailed steps/responsibilities please refer to the Project Schedule. </t>
  </si>
  <si>
    <t>Note:  All data movement between Client &amp; ADP is via a CRM ticket.</t>
  </si>
  <si>
    <t xml:space="preserve">          Client Parallel Readiness</t>
  </si>
  <si>
    <t xml:space="preserve">Responsible </t>
  </si>
  <si>
    <t>1. Has Client Legacy HR &amp; Payroll Data cleansing activity been completed?</t>
  </si>
  <si>
    <t>Client Data Expert</t>
  </si>
  <si>
    <t>2. Client Parallel resources on boarded &amp; trained ?</t>
  </si>
  <si>
    <t>Client HR / Finance</t>
  </si>
  <si>
    <t>3. If Variance Monitor being utilised, have .txt files been sent to ADP?</t>
  </si>
  <si>
    <t>Client SME/Data Expert</t>
  </si>
  <si>
    <t>4. If PTD being loaded, are SSL preparations in progress?</t>
  </si>
  <si>
    <t xml:space="preserve">          Parallel Data Preparation &amp; Load</t>
  </si>
  <si>
    <r>
      <rPr>
        <b/>
        <sz val="10"/>
        <color rgb="FF000000"/>
        <rFont val="Arial Narrow"/>
        <family val="2"/>
      </rPr>
      <t>To be considered</t>
    </r>
    <r>
      <rPr>
        <sz val="10"/>
        <color rgb="FF000000"/>
        <rFont val="Arial Narrow"/>
        <family val="2"/>
      </rPr>
      <t>:  EE's terminated around Parallel period, please advise ADP the EE GVID.</t>
    </r>
  </si>
  <si>
    <t>Extract raw data files from Legacy System</t>
  </si>
  <si>
    <t>Review data extracted for data completeness (volume and scope) and attach data file to a CRM ticket for ADP GV</t>
  </si>
  <si>
    <t>Perform data loads for parallel runs</t>
  </si>
  <si>
    <t>ADP Lead Consultant</t>
  </si>
  <si>
    <t>Provide Error logs to client</t>
  </si>
  <si>
    <t>Data Error investigation and correction</t>
  </si>
  <si>
    <t>Client SME/Data Expert - ADP Lead Consultant</t>
  </si>
  <si>
    <t>Validate data load complete, correct &amp; approved</t>
  </si>
  <si>
    <t xml:space="preserve">         Parallel Execution</t>
  </si>
  <si>
    <t xml:space="preserve">Load .txt Data Files (from Client) for Variance Monitor output (if applicable) </t>
  </si>
  <si>
    <t>ADP MS Implementation Consultant</t>
  </si>
  <si>
    <t>Process payroll, check &amp; release GV results to Client</t>
  </si>
  <si>
    <t>Validate GV Payroll Results against Legacy Payroll results</t>
  </si>
  <si>
    <t xml:space="preserve">Undertake necessary system configuration changes, if required </t>
  </si>
  <si>
    <t>Submit Correction Data, if required</t>
  </si>
  <si>
    <t>Re-run payroll, check &amp; release GV results</t>
  </si>
  <si>
    <t>Re Check &amp; Validate Results</t>
  </si>
  <si>
    <t>Sign-Off Parallel Payroll Results</t>
  </si>
  <si>
    <t>The following is a guide to assist GlobalView clients in validating GlobalView Parallel payroll results to their Legacy Payroll results.</t>
  </si>
  <si>
    <t>As a minimum, the following GV reports will be provided to the client to facilitate the validation process :
** Headcount Report
** Starters and Leavers Report
** Payroll Register
** Wage Type Reporter
** Payslips
** Variance Monitor Comparison Report (If the client has confirmed VM tool will be utilised and required inputs are provided to ADP)</t>
  </si>
  <si>
    <t>Validation Check</t>
  </si>
  <si>
    <t>GV Reports to facilitate</t>
  </si>
  <si>
    <t>Reconciliation Process</t>
  </si>
  <si>
    <t>Compare # of EE's paid in GV against Legacy</t>
  </si>
  <si>
    <t>Head Count 
Starters &amp; Leavers
Pay Register Report
Variance Monitor Report (if client utilising)</t>
  </si>
  <si>
    <t>Remove any EE’s not tested in GV but paid in Legacy, record these as a known/agreed variances.  If there remains a discrepancy, determine the EE’s - investigate why this has occurred.  Initial check can be undertaken using either Variance Monitor or Vlookup formula in excel.</t>
  </si>
  <si>
    <t>EE applicable</t>
  </si>
  <si>
    <t>Pay Register Report 
Payslips
Variance Monitor Report (if client utilising)</t>
  </si>
  <si>
    <r>
      <t>Compare each ees  GV</t>
    </r>
    <r>
      <rPr>
        <sz val="10"/>
        <color rgb="FFFF0000"/>
        <rFont val="Arial Narrow"/>
        <family val="2"/>
      </rPr>
      <t xml:space="preserve"> </t>
    </r>
    <r>
      <rPr>
        <sz val="10"/>
        <color theme="1"/>
        <rFont val="Arial Narrow"/>
        <family val="2"/>
      </rPr>
      <t xml:space="preserve">Net Pay to Legacy Net Pay. 
For any </t>
    </r>
    <r>
      <rPr>
        <u/>
        <sz val="10"/>
        <color theme="1"/>
        <rFont val="Arial Narrow"/>
        <family val="2"/>
      </rPr>
      <t>Net Pay matching</t>
    </r>
    <r>
      <rPr>
        <sz val="10"/>
        <color theme="1"/>
        <rFont val="Arial Narrow"/>
        <family val="2"/>
      </rPr>
      <t xml:space="preserve">, assume all EE payroll results are correct for that EE.  
For EE’s whose </t>
    </r>
    <r>
      <rPr>
        <u/>
        <sz val="10"/>
        <color theme="1"/>
        <rFont val="Arial Narrow"/>
        <family val="2"/>
      </rPr>
      <t>Net Pay is not matching</t>
    </r>
    <r>
      <rPr>
        <sz val="10"/>
        <color theme="1"/>
        <rFont val="Arial Narrow"/>
        <family val="2"/>
      </rPr>
      <t xml:space="preserve">, check individual payments then deductions to identify figures not matching. 
It is suggested that any checking begins with Payments </t>
    </r>
    <r>
      <rPr>
        <sz val="10"/>
        <rFont val="Arial Narrow"/>
        <family val="2"/>
      </rPr>
      <t>as these may effect other calculations for example , (a) statutory, (b) other ER calculations, etc.</t>
    </r>
    <r>
      <rPr>
        <sz val="10"/>
        <color rgb="FF92D050"/>
        <rFont val="Arial Narrow"/>
        <family val="2"/>
      </rPr>
      <t xml:space="preserve">  
</t>
    </r>
    <r>
      <rPr>
        <sz val="10"/>
        <rFont val="Arial Narrow"/>
        <family val="2"/>
      </rPr>
      <t>Determine the reason the figures are not matching.  Determine if the same reason applies to other EE’s</t>
    </r>
  </si>
  <si>
    <t>ER applicable</t>
  </si>
  <si>
    <t>Pay Register Report 
Payslips
Variance Monitor Report (if client utilising)
WTR EE wise( if client not using VM)</t>
  </si>
  <si>
    <t>Discount any irregularities based on any “EE Applicable” differences and work on any other outstanding differences.</t>
  </si>
  <si>
    <t>;I10</t>
    <phoneticPr fontId="11" type="noConversion"/>
  </si>
  <si>
    <t>;A</t>
    <phoneticPr fontId="11" type="noConversion"/>
  </si>
  <si>
    <t>;P</t>
    <phoneticPr fontId="11" type="noConversion"/>
  </si>
  <si>
    <t>Local</t>
    <phoneticPr fontId="11" type="noConversion"/>
  </si>
  <si>
    <t>3</t>
    <phoneticPr fontId="11" type="noConversion"/>
  </si>
  <si>
    <t>;E</t>
    <phoneticPr fontId="11" type="noConversion"/>
  </si>
  <si>
    <t>;I</t>
    <phoneticPr fontId="11" type="noConversion"/>
  </si>
  <si>
    <t>;P</t>
    <phoneticPr fontId="11" type="noConversion"/>
  </si>
  <si>
    <t>C</t>
    <phoneticPr fontId="11" type="noConversion"/>
  </si>
  <si>
    <t>I</t>
    <phoneticPr fontId="11" type="noConversion"/>
  </si>
  <si>
    <t>S</t>
    <phoneticPr fontId="11" type="noConversion"/>
  </si>
  <si>
    <t>;V</t>
    <phoneticPr fontId="11" type="noConversion"/>
  </si>
  <si>
    <t>International</t>
    <phoneticPr fontId="11" type="noConversion"/>
  </si>
  <si>
    <t>70</t>
    <phoneticPr fontId="11" type="noConversion"/>
  </si>
  <si>
    <t>71</t>
    <phoneticPr fontId="11" type="noConversion"/>
  </si>
  <si>
    <t>2002</t>
  </si>
  <si>
    <t>2002</t>
    <phoneticPr fontId="11" type="noConversion"/>
  </si>
  <si>
    <t>Start Time</t>
    <phoneticPr fontId="11" type="noConversion"/>
  </si>
  <si>
    <t>End Time</t>
    <phoneticPr fontId="11" type="noConversion"/>
  </si>
  <si>
    <t>2300 Casual Hours</t>
    <phoneticPr fontId="11" type="noConversion"/>
  </si>
  <si>
    <t>CASUAL</t>
    <phoneticPr fontId="104" type="noConversion"/>
  </si>
  <si>
    <t>VN10</t>
  </si>
  <si>
    <t>S5400000</t>
    <phoneticPr fontId="104" type="noConversion"/>
  </si>
  <si>
    <t xml:space="preserve"> </t>
    <phoneticPr fontId="11" type="noConversion"/>
  </si>
  <si>
    <t>50 - Annual Leave</t>
  </si>
  <si>
    <t>60 - Sick Leave</t>
  </si>
  <si>
    <t>70 - LSL Scheme 1</t>
  </si>
  <si>
    <t>71 - LSL Scheme 2</t>
  </si>
  <si>
    <t>80 - Time in Lieu</t>
  </si>
  <si>
    <t>Quota Accrual</t>
    <phoneticPr fontId="11" type="noConversion"/>
  </si>
  <si>
    <t>Date Type 04</t>
    <phoneticPr fontId="11" type="noConversion"/>
  </si>
  <si>
    <t>Date 04</t>
    <phoneticPr fontId="11" type="noConversion"/>
  </si>
  <si>
    <t>01</t>
    <phoneticPr fontId="11" type="noConversion"/>
  </si>
  <si>
    <t>02</t>
    <phoneticPr fontId="11" type="noConversion"/>
  </si>
  <si>
    <t>02</t>
    <phoneticPr fontId="11" type="noConversion"/>
  </si>
  <si>
    <t>02</t>
    <phoneticPr fontId="11" type="noConversion"/>
  </si>
  <si>
    <t>02</t>
    <phoneticPr fontId="11" type="noConversion"/>
  </si>
  <si>
    <t>VZ</t>
    <phoneticPr fontId="11" type="noConversion"/>
  </si>
  <si>
    <t>0001</t>
    <phoneticPr fontId="11" type="noConversion"/>
  </si>
  <si>
    <t>0001</t>
    <phoneticPr fontId="11" type="noConversion"/>
  </si>
  <si>
    <t>0001</t>
    <phoneticPr fontId="11" type="noConversion"/>
  </si>
  <si>
    <t>0002</t>
    <phoneticPr fontId="11" type="noConversion"/>
  </si>
  <si>
    <t>0003</t>
    <phoneticPr fontId="11" type="noConversion"/>
  </si>
  <si>
    <t>;M</t>
    <phoneticPr fontId="11" type="noConversion"/>
  </si>
  <si>
    <t>Payscale Type</t>
    <phoneticPr fontId="11" type="noConversion"/>
  </si>
  <si>
    <t>Payscale Area</t>
    <phoneticPr fontId="11" type="noConversion"/>
  </si>
  <si>
    <t>Associate Lecturer</t>
    <phoneticPr fontId="11" type="noConversion"/>
  </si>
  <si>
    <t>Lecturer</t>
    <phoneticPr fontId="11" type="noConversion"/>
  </si>
  <si>
    <t>Senior Lecturer</t>
    <phoneticPr fontId="11" type="noConversion"/>
  </si>
  <si>
    <t>Payscale Group</t>
    <phoneticPr fontId="11" type="noConversion"/>
  </si>
  <si>
    <t>Professor</t>
    <phoneticPr fontId="11" type="noConversion"/>
  </si>
  <si>
    <t>Associate Professor</t>
  </si>
  <si>
    <t>Associate Professor</t>
    <phoneticPr fontId="11" type="noConversion"/>
  </si>
  <si>
    <t>E</t>
    <phoneticPr fontId="11" type="noConversion"/>
  </si>
  <si>
    <t>D2</t>
    <phoneticPr fontId="11" type="noConversion"/>
  </si>
  <si>
    <t>Professional</t>
    <phoneticPr fontId="11" type="noConversion"/>
  </si>
  <si>
    <t>A1</t>
    <phoneticPr fontId="11" type="noConversion"/>
  </si>
  <si>
    <t>Executives</t>
    <phoneticPr fontId="11" type="noConversion"/>
  </si>
  <si>
    <t>E3</t>
    <phoneticPr fontId="11" type="noConversion"/>
  </si>
  <si>
    <t>PSV5</t>
    <phoneticPr fontId="11" type="noConversion"/>
  </si>
  <si>
    <t>B5</t>
    <phoneticPr fontId="11" type="noConversion"/>
  </si>
  <si>
    <t>Visiting Professor</t>
    <phoneticPr fontId="11" type="noConversion"/>
  </si>
  <si>
    <t>International</t>
    <phoneticPr fontId="11" type="noConversion"/>
  </si>
  <si>
    <t>C6</t>
    <phoneticPr fontId="11" type="noConversion"/>
  </si>
  <si>
    <t>VP</t>
    <phoneticPr fontId="11" type="noConversion"/>
  </si>
  <si>
    <t>D1</t>
    <phoneticPr fontId="11" type="noConversion"/>
  </si>
  <si>
    <t>1000</t>
    <phoneticPr fontId="11" type="noConversion"/>
  </si>
  <si>
    <t>Accumulation WTs</t>
    <phoneticPr fontId="11" type="noConversion"/>
  </si>
  <si>
    <t>9113 13th Salary Cumulation</t>
    <phoneticPr fontId="11" type="noConversion"/>
  </si>
  <si>
    <t>FTE%</t>
    <phoneticPr fontId="11" type="noConversion"/>
  </si>
  <si>
    <t>Percentage</t>
    <phoneticPr fontId="11" type="noConversion"/>
  </si>
  <si>
    <t>1000 Monthly Salary</t>
    <phoneticPr fontId="11" type="noConversion"/>
  </si>
  <si>
    <t>Start Date of the Month</t>
    <phoneticPr fontId="11" type="noConversion"/>
  </si>
  <si>
    <t>Active Working Days</t>
    <phoneticPr fontId="11" type="noConversion"/>
  </si>
  <si>
    <t>T</t>
    <phoneticPr fontId="11" type="noConversion"/>
  </si>
  <si>
    <t>/031 6 Mth Aver Salary</t>
    <phoneticPr fontId="11" type="noConversion"/>
  </si>
  <si>
    <t>9033 YOS</t>
    <phoneticPr fontId="11" type="noConversion"/>
  </si>
  <si>
    <t>Notional WTs</t>
    <phoneticPr fontId="11" type="noConversion"/>
  </si>
  <si>
    <t>/430 Taxable Before Exemptions</t>
    <phoneticPr fontId="11" type="noConversion"/>
  </si>
  <si>
    <t>/400 Tax Current Month</t>
    <phoneticPr fontId="11" type="noConversion"/>
  </si>
  <si>
    <t>YTD Tax Paid</t>
    <phoneticPr fontId="11" type="noConversion"/>
  </si>
  <si>
    <t>YTD SI EE</t>
    <phoneticPr fontId="11" type="noConversion"/>
  </si>
  <si>
    <t>Rate 001</t>
    <phoneticPr fontId="11" type="noConversion"/>
  </si>
  <si>
    <t>EE Group</t>
    <phoneticPr fontId="11" type="noConversion"/>
  </si>
  <si>
    <t>EE Subgroup</t>
    <phoneticPr fontId="11" type="noConversion"/>
  </si>
  <si>
    <t>3525 Meal Allowance</t>
    <phoneticPr fontId="11" type="noConversion"/>
  </si>
  <si>
    <t>5V00 MI Monthly Target</t>
    <phoneticPr fontId="11" type="noConversion"/>
  </si>
  <si>
    <t>3081 Mobile phone allowance</t>
    <phoneticPr fontId="11" type="noConversion"/>
  </si>
  <si>
    <t>1100 Higher Duties Allowance</t>
    <phoneticPr fontId="11" type="noConversion"/>
  </si>
  <si>
    <t>3100 Driving allowance</t>
    <phoneticPr fontId="11" type="noConversion"/>
  </si>
  <si>
    <t xml:space="preserve">3240 Dependants Scholarship </t>
    <phoneticPr fontId="11" type="noConversion"/>
  </si>
  <si>
    <t>3210 CSS paid to EE by ER</t>
    <phoneticPr fontId="11" type="noConversion"/>
  </si>
  <si>
    <t>Total</t>
    <phoneticPr fontId="11" type="noConversion"/>
  </si>
  <si>
    <t>Rate 002</t>
    <phoneticPr fontId="11" type="noConversion"/>
  </si>
  <si>
    <t>Rate 003</t>
    <phoneticPr fontId="11" type="noConversion"/>
  </si>
  <si>
    <t>Factoring 801</t>
    <phoneticPr fontId="11" type="noConversion"/>
  </si>
  <si>
    <t>Factoring 803</t>
    <phoneticPr fontId="11" type="noConversion"/>
  </si>
  <si>
    <t>Factoring 804</t>
    <phoneticPr fontId="11" type="noConversion"/>
  </si>
  <si>
    <t>01.01.2019</t>
  </si>
  <si>
    <t>01.01.2019</t>
    <phoneticPr fontId="11" type="noConversion"/>
  </si>
  <si>
    <t>31.12.9999</t>
    <phoneticPr fontId="11" type="noConversion"/>
  </si>
  <si>
    <t>5V00</t>
    <phoneticPr fontId="11" type="noConversion"/>
  </si>
  <si>
    <t>08.01.2019</t>
  </si>
  <si>
    <t>08.01.2019</t>
    <phoneticPr fontId="11" type="noConversion"/>
  </si>
  <si>
    <t>5V01 Monthly MI by ER</t>
    <phoneticPr fontId="11" type="noConversion"/>
  </si>
  <si>
    <t>Active Calendar Days</t>
    <phoneticPr fontId="11" type="noConversion"/>
  </si>
  <si>
    <t>5V02 Monthly MI by EE</t>
    <phoneticPr fontId="11" type="noConversion"/>
  </si>
  <si>
    <t>WT/101</t>
    <phoneticPr fontId="11" type="noConversion"/>
  </si>
  <si>
    <t>Total Gross</t>
    <phoneticPr fontId="11" type="noConversion"/>
  </si>
  <si>
    <t>Total Taxable</t>
    <phoneticPr fontId="11" type="noConversion"/>
  </si>
  <si>
    <t>WT/106</t>
    <phoneticPr fontId="11" type="noConversion"/>
  </si>
  <si>
    <t>Insur. Salary</t>
    <phoneticPr fontId="11" type="noConversion"/>
  </si>
  <si>
    <t>WT/171</t>
    <phoneticPr fontId="11" type="noConversion"/>
  </si>
  <si>
    <t>Contr. Salary</t>
    <phoneticPr fontId="11" type="noConversion"/>
  </si>
  <si>
    <t>WT/179</t>
    <phoneticPr fontId="11" type="noConversion"/>
  </si>
  <si>
    <t>Serv. Pay</t>
    <phoneticPr fontId="11" type="noConversion"/>
  </si>
  <si>
    <t>P70</t>
    <phoneticPr fontId="11" type="noConversion"/>
  </si>
  <si>
    <t>X</t>
    <phoneticPr fontId="11" type="noConversion"/>
  </si>
  <si>
    <t>X</t>
    <phoneticPr fontId="11" type="noConversion"/>
  </si>
  <si>
    <t>X</t>
    <phoneticPr fontId="11" type="noConversion"/>
  </si>
  <si>
    <t>1100</t>
    <phoneticPr fontId="11" type="noConversion"/>
  </si>
  <si>
    <t>1100</t>
    <phoneticPr fontId="11" type="noConversion"/>
  </si>
  <si>
    <t>5V10 Merit payment</t>
    <phoneticPr fontId="11" type="noConversion"/>
  </si>
  <si>
    <t>28.02.2019</t>
    <phoneticPr fontId="11" type="noConversion"/>
  </si>
  <si>
    <t>5V10</t>
    <phoneticPr fontId="11" type="noConversion"/>
  </si>
  <si>
    <t>YOS</t>
    <phoneticPr fontId="11" type="noConversion"/>
  </si>
  <si>
    <t>5V03 Monthly MI by ER - DP</t>
    <phoneticPr fontId="11" type="noConversion"/>
  </si>
  <si>
    <t>5V04 Monthly MI by EE - DP</t>
    <phoneticPr fontId="11" type="noConversion"/>
  </si>
  <si>
    <t>5V05 DI Monthly Target</t>
    <phoneticPr fontId="11" type="noConversion"/>
  </si>
  <si>
    <t>5V05</t>
    <phoneticPr fontId="11" type="noConversion"/>
  </si>
  <si>
    <t>5V06 Monthly DI by EE</t>
    <phoneticPr fontId="11" type="noConversion"/>
  </si>
  <si>
    <t>5V07 Monthly DI by EE - DP</t>
    <phoneticPr fontId="11" type="noConversion"/>
  </si>
  <si>
    <t>01.01.2019</t>
    <phoneticPr fontId="11" type="noConversion"/>
  </si>
  <si>
    <t>Exchange Rate</t>
    <phoneticPr fontId="11" type="noConversion"/>
  </si>
  <si>
    <t>USD</t>
    <phoneticPr fontId="11" type="noConversion"/>
  </si>
  <si>
    <t>01</t>
    <phoneticPr fontId="11" type="noConversion"/>
  </si>
  <si>
    <t>03</t>
    <phoneticPr fontId="11" type="noConversion"/>
  </si>
  <si>
    <t>05</t>
    <phoneticPr fontId="11" type="noConversion"/>
  </si>
  <si>
    <t>02</t>
    <phoneticPr fontId="11" type="noConversion"/>
  </si>
  <si>
    <t>04</t>
    <phoneticPr fontId="11" type="noConversion"/>
  </si>
  <si>
    <t>06</t>
    <phoneticPr fontId="11" type="noConversion"/>
  </si>
  <si>
    <t>SI Compulsory Type</t>
    <phoneticPr fontId="11" type="noConversion"/>
  </si>
  <si>
    <t>CSI Rate -  EE</t>
    <phoneticPr fontId="11" type="noConversion"/>
  </si>
  <si>
    <t>CSI Rate -  ER</t>
    <phoneticPr fontId="11" type="noConversion"/>
  </si>
  <si>
    <t>UI Rate - EE</t>
    <phoneticPr fontId="11" type="noConversion"/>
  </si>
  <si>
    <t>UI Rate - ER</t>
    <phoneticPr fontId="11" type="noConversion"/>
  </si>
  <si>
    <t>HI Rate - EE</t>
    <phoneticPr fontId="11" type="noConversion"/>
  </si>
  <si>
    <t>HI Rate - ER</t>
    <phoneticPr fontId="11" type="noConversion"/>
  </si>
  <si>
    <t>Emp. Category</t>
    <phoneticPr fontId="11" type="noConversion"/>
  </si>
  <si>
    <t>Natrue of Person</t>
    <phoneticPr fontId="11" type="noConversion"/>
  </si>
  <si>
    <t>Combination</t>
    <phoneticPr fontId="11" type="noConversion"/>
  </si>
  <si>
    <t>A</t>
    <phoneticPr fontId="11" type="noConversion"/>
  </si>
  <si>
    <t>B</t>
    <phoneticPr fontId="11" type="noConversion"/>
  </si>
  <si>
    <t>C</t>
    <phoneticPr fontId="11" type="noConversion"/>
  </si>
  <si>
    <t>02</t>
    <phoneticPr fontId="11" type="noConversion"/>
  </si>
  <si>
    <t>01</t>
    <phoneticPr fontId="11" type="noConversion"/>
  </si>
  <si>
    <t>D</t>
    <phoneticPr fontId="11" type="noConversion"/>
  </si>
  <si>
    <t>A</t>
    <phoneticPr fontId="11" type="noConversion"/>
  </si>
  <si>
    <t>Taxation Type</t>
    <phoneticPr fontId="11" type="noConversion"/>
  </si>
  <si>
    <t>X</t>
    <phoneticPr fontId="11" type="noConversion"/>
  </si>
  <si>
    <t>X</t>
    <phoneticPr fontId="11" type="noConversion"/>
  </si>
  <si>
    <t>1102 Managerial Allowance</t>
    <phoneticPr fontId="11" type="noConversion"/>
  </si>
  <si>
    <t>1102</t>
    <phoneticPr fontId="11" type="noConversion"/>
  </si>
  <si>
    <t>1102</t>
    <phoneticPr fontId="11" type="noConversion"/>
  </si>
  <si>
    <t xml:space="preserve">  Non-cash Payment</t>
    <phoneticPr fontId="11" type="noConversion"/>
  </si>
  <si>
    <t>/321 CSI ER</t>
    <phoneticPr fontId="11" type="noConversion"/>
  </si>
  <si>
    <t>/341 UI ER</t>
    <phoneticPr fontId="11" type="noConversion"/>
  </si>
  <si>
    <t>/351 HI ER</t>
    <phoneticPr fontId="11" type="noConversion"/>
  </si>
  <si>
    <t>/320 CSI EE</t>
    <phoneticPr fontId="11" type="noConversion"/>
  </si>
  <si>
    <t>/340 UI EE</t>
    <phoneticPr fontId="11" type="noConversion"/>
  </si>
  <si>
    <t>/350 HI EE</t>
    <phoneticPr fontId="11" type="noConversion"/>
  </si>
  <si>
    <t>/101 Total Gross</t>
    <phoneticPr fontId="11" type="noConversion"/>
  </si>
  <si>
    <t>/106 Taxable Income</t>
    <phoneticPr fontId="11" type="noConversion"/>
  </si>
  <si>
    <t>/171 Insurance Salary</t>
    <phoneticPr fontId="11" type="noConversion"/>
  </si>
  <si>
    <t xml:space="preserve">  Non-taxable Payment</t>
    <phoneticPr fontId="11" type="noConversion"/>
  </si>
  <si>
    <t>USD</t>
    <phoneticPr fontId="11" type="noConversion"/>
  </si>
  <si>
    <t xml:space="preserve">8200 Super - ER Post Tax   </t>
    <phoneticPr fontId="11" type="noConversion"/>
  </si>
  <si>
    <t xml:space="preserve">8205 Super -  EE Post Tax     </t>
    <phoneticPr fontId="11" type="noConversion"/>
  </si>
  <si>
    <t>/030 Severance Earings</t>
    <phoneticPr fontId="11" type="noConversion"/>
  </si>
  <si>
    <t>6 month Severance Earnings</t>
    <phoneticPr fontId="11" type="noConversion"/>
  </si>
  <si>
    <t>3012 Domestic Relocation Assistance</t>
    <phoneticPr fontId="11" type="noConversion"/>
  </si>
  <si>
    <t xml:space="preserve">3132 Exec Bonus </t>
    <phoneticPr fontId="11" type="noConversion"/>
  </si>
  <si>
    <t>3200 Sales incentive</t>
    <phoneticPr fontId="104" type="noConversion"/>
  </si>
  <si>
    <t>3299 Cash Refund by EE</t>
    <phoneticPr fontId="104" type="noConversion"/>
  </si>
  <si>
    <t>7090 Compen. for advanced notice</t>
    <phoneticPr fontId="104" type="noConversion"/>
  </si>
  <si>
    <t>7V30 Fees of visa/TRC related</t>
    <phoneticPr fontId="104" type="noConversion"/>
  </si>
  <si>
    <t>7050 Personal expense(s)</t>
    <phoneticPr fontId="104" type="noConversion"/>
  </si>
  <si>
    <t xml:space="preserve">7080 Relocation Refunding </t>
    <phoneticPr fontId="104" type="noConversion"/>
  </si>
  <si>
    <t>7850 Pre-payment Offset</t>
    <phoneticPr fontId="104" type="noConversion"/>
  </si>
  <si>
    <t>X</t>
    <phoneticPr fontId="104" type="noConversion"/>
  </si>
  <si>
    <t xml:space="preserve">3501 Clothing Allowance </t>
    <phoneticPr fontId="11" type="noConversion"/>
  </si>
  <si>
    <t>1st Exchange Rate</t>
    <phoneticPr fontId="11" type="noConversion"/>
  </si>
  <si>
    <t>2300</t>
    <phoneticPr fontId="11" type="noConversion"/>
  </si>
  <si>
    <t>1100</t>
    <phoneticPr fontId="11" type="noConversion"/>
  </si>
  <si>
    <t>1102</t>
    <phoneticPr fontId="11" type="noConversion"/>
  </si>
  <si>
    <t>18.01.2019</t>
    <phoneticPr fontId="11" type="noConversion"/>
  </si>
  <si>
    <t>USD</t>
    <phoneticPr fontId="11" type="noConversion"/>
  </si>
  <si>
    <t>USD</t>
    <phoneticPr fontId="11" type="noConversion"/>
  </si>
  <si>
    <t>USD</t>
    <phoneticPr fontId="11" type="noConversion"/>
  </si>
  <si>
    <t>/410 Total EE SI Contribution</t>
    <phoneticPr fontId="11" type="noConversion"/>
  </si>
  <si>
    <t>Enter test data relating to IT0015</t>
    <phoneticPr fontId="104" type="noConversion"/>
  </si>
  <si>
    <t>01.03.2019</t>
    <phoneticPr fontId="104" type="noConversion"/>
  </si>
  <si>
    <t>USD</t>
    <phoneticPr fontId="104" type="noConversion"/>
  </si>
  <si>
    <t>3291 One-time Lump-sum</t>
    <phoneticPr fontId="104" type="noConversion"/>
  </si>
  <si>
    <t>X</t>
    <phoneticPr fontId="104" type="noConversion"/>
  </si>
  <si>
    <t>7065 School Fee</t>
    <phoneticPr fontId="11" type="noConversion"/>
  </si>
  <si>
    <t>7070 Home Leave Airfare</t>
    <phoneticPr fontId="11" type="noConversion"/>
  </si>
  <si>
    <t>3015 Sal. Pack. Recon. - Airfare</t>
    <phoneticPr fontId="11" type="noConversion"/>
  </si>
  <si>
    <t>3016 Sal. Pack. Recon. - School Fee</t>
    <phoneticPr fontId="11" type="noConversion"/>
  </si>
  <si>
    <t>USD</t>
    <phoneticPr fontId="104" type="noConversion"/>
  </si>
  <si>
    <t>USD</t>
    <phoneticPr fontId="104" type="noConversion"/>
  </si>
  <si>
    <t>USD</t>
    <phoneticPr fontId="104" type="noConversion"/>
  </si>
  <si>
    <t>5V08</t>
    <phoneticPr fontId="104" type="noConversion"/>
  </si>
  <si>
    <t>5V08 One-time Adj MI by EE</t>
    <phoneticPr fontId="104" type="noConversion"/>
  </si>
  <si>
    <t>USD</t>
    <phoneticPr fontId="104" type="noConversion"/>
  </si>
  <si>
    <t>7055 Advanced clearance</t>
    <phoneticPr fontId="104" type="noConversion"/>
  </si>
  <si>
    <t>7V30</t>
    <phoneticPr fontId="104" type="noConversion"/>
  </si>
  <si>
    <t>USD</t>
    <phoneticPr fontId="104" type="noConversion"/>
  </si>
  <si>
    <t>USD</t>
    <phoneticPr fontId="104" type="noConversion"/>
  </si>
  <si>
    <t>P</t>
    <phoneticPr fontId="11" type="noConversion"/>
  </si>
  <si>
    <t>Rate 004</t>
    <phoneticPr fontId="11" type="noConversion"/>
  </si>
  <si>
    <t>Calculation Related</t>
    <phoneticPr fontId="11" type="noConversion"/>
  </si>
  <si>
    <t>Unpaid Leave</t>
    <phoneticPr fontId="11" type="noConversion"/>
  </si>
  <si>
    <t>Unpaid Leave Paid by Gov.</t>
    <phoneticPr fontId="11" type="noConversion"/>
  </si>
  <si>
    <t>Parental &amp; Prenatal Lv.</t>
    <phoneticPr fontId="11" type="noConversion"/>
  </si>
  <si>
    <t>1001 Nominal Salary</t>
    <phoneticPr fontId="11" type="noConversion"/>
  </si>
  <si>
    <t>Monthly Planned Working Days</t>
    <phoneticPr fontId="11" type="noConversion"/>
  </si>
  <si>
    <t>Foreigner Insurance Salary</t>
    <phoneticPr fontId="11" type="noConversion"/>
  </si>
  <si>
    <t>*1000 Monthly Salary</t>
    <phoneticPr fontId="11" type="noConversion"/>
  </si>
  <si>
    <t>*1100 Higher Duties Allowance</t>
    <phoneticPr fontId="11" type="noConversion"/>
  </si>
  <si>
    <t>*1102 Managerial Allowance</t>
    <phoneticPr fontId="11" type="noConversion"/>
  </si>
  <si>
    <t>Monthly Planned Workding Days</t>
    <phoneticPr fontId="104" type="noConversion"/>
  </si>
  <si>
    <t>P</t>
    <phoneticPr fontId="11" type="noConversion"/>
  </si>
  <si>
    <t>0001</t>
    <phoneticPr fontId="11" type="noConversion"/>
  </si>
  <si>
    <t>Entitlement 1</t>
    <phoneticPr fontId="11" type="noConversion"/>
  </si>
  <si>
    <t>Daily Hours</t>
    <phoneticPr fontId="11" type="noConversion"/>
  </si>
  <si>
    <t>P5320000</t>
  </si>
  <si>
    <t>P5300000</t>
  </si>
  <si>
    <t>P5240000</t>
  </si>
  <si>
    <t>Entitlement 2</t>
    <phoneticPr fontId="11" type="noConversion"/>
  </si>
  <si>
    <t>VZ</t>
    <phoneticPr fontId="11" type="noConversion"/>
  </si>
  <si>
    <t>9LSL</t>
    <phoneticPr fontId="11" type="noConversion"/>
  </si>
  <si>
    <t>All</t>
    <phoneticPr fontId="11" type="noConversion"/>
  </si>
  <si>
    <t>School Fee</t>
  </si>
  <si>
    <t>Home Leave Airfare</t>
  </si>
  <si>
    <t>Auto</t>
    <phoneticPr fontId="11" type="noConversion"/>
  </si>
  <si>
    <t>0014</t>
    <phoneticPr fontId="11" type="noConversion"/>
  </si>
  <si>
    <t xml:space="preserve">Clothing Allowance </t>
  </si>
  <si>
    <t>Meal Allowance</t>
  </si>
  <si>
    <t xml:space="preserve">Dependants Scholarship </t>
  </si>
  <si>
    <t xml:space="preserve">Super -  EE Post Tax     </t>
  </si>
  <si>
    <t>ZX01</t>
    <phoneticPr fontId="11" type="noConversion"/>
  </si>
  <si>
    <t>ZY01</t>
    <phoneticPr fontId="11" type="noConversion"/>
  </si>
  <si>
    <t>ZZ01</t>
    <phoneticPr fontId="11" type="noConversion"/>
  </si>
  <si>
    <t>ZX02</t>
    <phoneticPr fontId="11" type="noConversion"/>
  </si>
  <si>
    <t>ZY02</t>
    <phoneticPr fontId="11" type="noConversion"/>
  </si>
  <si>
    <t>ZZ02</t>
    <phoneticPr fontId="11" type="noConversion"/>
  </si>
  <si>
    <t>LWOP for AL &amp; SL &amp; LSL</t>
    <phoneticPr fontId="11" type="noConversion"/>
  </si>
  <si>
    <t>70 LSL 1 Accr.</t>
    <phoneticPr fontId="11" type="noConversion"/>
  </si>
  <si>
    <t>71 LSL 2 Accr.</t>
    <phoneticPr fontId="11" type="noConversion"/>
  </si>
  <si>
    <t>Quota Type</t>
    <phoneticPr fontId="11" type="noConversion"/>
  </si>
  <si>
    <t>Number</t>
    <phoneticPr fontId="11" type="noConversion"/>
  </si>
  <si>
    <t>ZX00</t>
    <phoneticPr fontId="11" type="noConversion"/>
  </si>
  <si>
    <t>Domestic Relocation Assistance</t>
  </si>
  <si>
    <t xml:space="preserve">Exec Bonus </t>
  </si>
  <si>
    <t>Sales incentive</t>
  </si>
  <si>
    <t>Cash Refund by EE</t>
  </si>
  <si>
    <t>One-time Adj MI by EE</t>
  </si>
  <si>
    <t>Fees of visa/TRC related</t>
  </si>
  <si>
    <t>Personal expense(s)</t>
  </si>
  <si>
    <t>Advanced clearance</t>
  </si>
  <si>
    <t xml:space="preserve">Relocation Refunding </t>
  </si>
  <si>
    <t>Pre-payment Offset</t>
  </si>
  <si>
    <t>0015</t>
    <phoneticPr fontId="11" type="noConversion"/>
  </si>
  <si>
    <t>UAT3</t>
    <phoneticPr fontId="11" type="noConversion"/>
  </si>
  <si>
    <t>Hours</t>
    <phoneticPr fontId="11" type="noConversion"/>
  </si>
  <si>
    <t>16.01.2019</t>
    <phoneticPr fontId="11" type="noConversion"/>
  </si>
  <si>
    <t>30.01.2019</t>
    <phoneticPr fontId="11" type="noConversion"/>
  </si>
  <si>
    <t>23.01.2019</t>
    <phoneticPr fontId="11" type="noConversion"/>
  </si>
  <si>
    <t>20.02.2019</t>
    <phoneticPr fontId="11" type="noConversion"/>
  </si>
  <si>
    <t>27.02.2019</t>
    <phoneticPr fontId="11" type="noConversion"/>
  </si>
  <si>
    <t>06.03.2019</t>
    <phoneticPr fontId="11" type="noConversion"/>
  </si>
  <si>
    <t>20.03.2019</t>
    <phoneticPr fontId="11" type="noConversion"/>
  </si>
  <si>
    <t>13.03.2019</t>
    <phoneticPr fontId="11" type="noConversion"/>
  </si>
  <si>
    <t>27.03.2019</t>
    <phoneticPr fontId="11" type="noConversion"/>
  </si>
  <si>
    <t>03.04.2019</t>
    <phoneticPr fontId="11" type="noConversion"/>
  </si>
  <si>
    <t>17.04.2019</t>
    <phoneticPr fontId="11" type="noConversion"/>
  </si>
  <si>
    <t>10.04.2019</t>
    <phoneticPr fontId="11" type="noConversion"/>
  </si>
  <si>
    <t>24.04.2019</t>
    <phoneticPr fontId="11" type="noConversion"/>
  </si>
  <si>
    <t>01.05.2019</t>
    <phoneticPr fontId="11" type="noConversion"/>
  </si>
  <si>
    <t>15.05.2019</t>
    <phoneticPr fontId="11" type="noConversion"/>
  </si>
  <si>
    <t>29.05.2019</t>
    <phoneticPr fontId="11" type="noConversion"/>
  </si>
  <si>
    <t>01.05.2019</t>
    <phoneticPr fontId="104" type="noConversion"/>
  </si>
  <si>
    <t xml:space="preserve">WT2004 PH Ordinary @ 1.0 </t>
    <phoneticPr fontId="104" type="noConversion"/>
  </si>
  <si>
    <t>WT2154 PH Day @ 200%</t>
    <phoneticPr fontId="104" type="noConversion"/>
  </si>
  <si>
    <t xml:space="preserve">2035 OT Holiday </t>
    <phoneticPr fontId="104" type="noConversion"/>
  </si>
  <si>
    <t>Time Result from Evaluation</t>
    <phoneticPr fontId="11" type="noConversion"/>
  </si>
  <si>
    <t>WT2155 PH Night @ 290</t>
    <phoneticPr fontId="104" type="noConversion"/>
  </si>
  <si>
    <t>2036 OT Holiday Night</t>
    <phoneticPr fontId="104" type="noConversion"/>
  </si>
  <si>
    <t>11.05.2019</t>
    <phoneticPr fontId="104" type="noConversion"/>
  </si>
  <si>
    <t>12.05.2019</t>
    <phoneticPr fontId="104" type="noConversion"/>
  </si>
  <si>
    <t>2026 OT Weekend night 260%</t>
    <phoneticPr fontId="104" type="noConversion"/>
  </si>
  <si>
    <t>2025  OT Weekend day 200%</t>
    <phoneticPr fontId="104" type="noConversion"/>
  </si>
  <si>
    <t>WT2153 OT Weekend Night @ 160%</t>
    <phoneticPr fontId="104" type="noConversion"/>
  </si>
  <si>
    <t>YTD accumulated OT</t>
    <phoneticPr fontId="104" type="noConversion"/>
  </si>
  <si>
    <t>PSV10</t>
    <phoneticPr fontId="11" type="noConversion"/>
  </si>
  <si>
    <t>15.05.2019</t>
    <phoneticPr fontId="104" type="noConversion"/>
  </si>
  <si>
    <t>TOIL @ 100%</t>
  </si>
  <si>
    <t>TOIL @ 150%</t>
  </si>
  <si>
    <t>TOIL @ 195%</t>
  </si>
  <si>
    <t>TOIL @ 200%</t>
  </si>
  <si>
    <t>TOIL @ 260%</t>
  </si>
  <si>
    <t>3011 Intern. Relo. Ass.</t>
    <phoneticPr fontId="11" type="noConversion"/>
  </si>
  <si>
    <t>Factoring 801 - 2</t>
    <phoneticPr fontId="11" type="noConversion"/>
  </si>
  <si>
    <t>Factoring 803 - 2</t>
    <phoneticPr fontId="11" type="noConversion"/>
  </si>
  <si>
    <t>Active Working Days - 2</t>
    <phoneticPr fontId="11" type="noConversion"/>
  </si>
  <si>
    <t>Active Calendar Days - 2</t>
    <phoneticPr fontId="11" type="noConversion"/>
  </si>
  <si>
    <t>Salary Increase Day</t>
    <phoneticPr fontId="104" type="noConversion"/>
  </si>
  <si>
    <t>Rate 003 - 2</t>
    <phoneticPr fontId="11" type="noConversion"/>
  </si>
  <si>
    <t>Rate 002 - 2</t>
    <phoneticPr fontId="104" type="noConversion"/>
  </si>
  <si>
    <t>Rate 001 - 2</t>
    <phoneticPr fontId="11" type="noConversion"/>
  </si>
  <si>
    <t>Rate 004 - 2</t>
    <phoneticPr fontId="104" type="noConversion"/>
  </si>
  <si>
    <t>1000 Monthly Salary - New</t>
    <phoneticPr fontId="11" type="noConversion"/>
  </si>
  <si>
    <t>1100 Higher Duties Allowance - New</t>
    <phoneticPr fontId="11" type="noConversion"/>
  </si>
  <si>
    <t>1102 Managerial Allowance - New</t>
    <phoneticPr fontId="11" type="noConversion"/>
  </si>
  <si>
    <t>2020 OT Weekday 150%</t>
    <phoneticPr fontId="104" type="noConversion"/>
  </si>
  <si>
    <t>2021 OT Weekday Night 195%</t>
    <phoneticPr fontId="104" type="noConversion"/>
  </si>
  <si>
    <t>12.06.2019</t>
    <phoneticPr fontId="11" type="noConversion"/>
  </si>
  <si>
    <t>26.06.2019</t>
    <phoneticPr fontId="11" type="noConversion"/>
  </si>
  <si>
    <t>02.05.2019</t>
    <phoneticPr fontId="104" type="noConversion"/>
  </si>
  <si>
    <t>14.05.2019</t>
  </si>
  <si>
    <t>14.05.2019</t>
    <phoneticPr fontId="104" type="noConversion"/>
  </si>
  <si>
    <t>16.05.2019</t>
    <phoneticPr fontId="104" type="noConversion"/>
  </si>
  <si>
    <t>21.05.2019</t>
    <phoneticPr fontId="104" type="noConversion"/>
  </si>
  <si>
    <t>23.05.2019</t>
    <phoneticPr fontId="104" type="noConversion"/>
  </si>
  <si>
    <t>29.05.2019</t>
    <phoneticPr fontId="104" type="noConversion"/>
  </si>
  <si>
    <t>31.05.2019</t>
    <phoneticPr fontId="104" type="noConversion"/>
  </si>
  <si>
    <t>WT2150 OT Weekday Day @ 50%</t>
    <phoneticPr fontId="104" type="noConversion"/>
  </si>
  <si>
    <t>WT2151 OT Weekday Night @ 95%</t>
    <phoneticPr fontId="104" type="noConversion"/>
  </si>
  <si>
    <t>WT2152 OT Weekend Day @ 100%</t>
    <phoneticPr fontId="104" type="noConversion"/>
  </si>
  <si>
    <t>13.05.2019</t>
    <phoneticPr fontId="104" type="noConversion"/>
  </si>
  <si>
    <t>Retro Active Working Days</t>
    <phoneticPr fontId="11" type="noConversion"/>
  </si>
  <si>
    <t>Retro Active Calendar Days</t>
    <phoneticPr fontId="11" type="noConversion"/>
  </si>
  <si>
    <t>*1000 Monthly Salary</t>
    <phoneticPr fontId="11" type="noConversion"/>
  </si>
  <si>
    <t>1000 Monthly Salary - Old</t>
    <phoneticPr fontId="11" type="noConversion"/>
  </si>
  <si>
    <t>1100 Higher Duties Allowance Old</t>
    <phoneticPr fontId="11" type="noConversion"/>
  </si>
  <si>
    <t>1102 Managerial Allowance - Old</t>
    <phoneticPr fontId="11" type="noConversion"/>
  </si>
  <si>
    <t>*1100 Higher Duties Allowance</t>
    <phoneticPr fontId="11" type="noConversion"/>
  </si>
  <si>
    <t>Factoring 801 - Retro</t>
    <phoneticPr fontId="11" type="noConversion"/>
  </si>
  <si>
    <t>Factoring 803 - Retro</t>
    <phoneticPr fontId="11" type="noConversion"/>
  </si>
  <si>
    <t>*1102 Managerial Allowance</t>
    <phoneticPr fontId="11" type="noConversion"/>
  </si>
  <si>
    <t>10.07.2019</t>
    <phoneticPr fontId="11" type="noConversion"/>
  </si>
  <si>
    <t>24.07.2019</t>
    <phoneticPr fontId="11" type="noConversion"/>
  </si>
  <si>
    <t>03.07.2019</t>
    <phoneticPr fontId="11" type="noConversion"/>
  </si>
  <si>
    <t>03.06.2019</t>
    <phoneticPr fontId="104" type="noConversion"/>
  </si>
  <si>
    <t>16.06.2019</t>
    <phoneticPr fontId="104" type="noConversion"/>
  </si>
  <si>
    <t>17.06.2019</t>
    <phoneticPr fontId="104" type="noConversion"/>
  </si>
  <si>
    <t>02.06.2019</t>
    <phoneticPr fontId="104" type="noConversion"/>
  </si>
  <si>
    <t>04.06.2019</t>
    <phoneticPr fontId="104" type="noConversion"/>
  </si>
  <si>
    <t>07.06.2019</t>
    <phoneticPr fontId="104" type="noConversion"/>
  </si>
  <si>
    <t>11.06.2019</t>
    <phoneticPr fontId="104" type="noConversion"/>
  </si>
  <si>
    <t>13.06.2019</t>
    <phoneticPr fontId="104" type="noConversion"/>
  </si>
  <si>
    <t>27.06.2019</t>
    <phoneticPr fontId="104" type="noConversion"/>
  </si>
  <si>
    <t>28.06.2019</t>
    <phoneticPr fontId="104" type="noConversion"/>
  </si>
  <si>
    <t>23.06.2019</t>
    <phoneticPr fontId="104" type="noConversion"/>
  </si>
  <si>
    <t>2012</t>
    <phoneticPr fontId="11" type="noConversion"/>
  </si>
  <si>
    <t>01.01.2019</t>
    <phoneticPr fontId="11" type="noConversion"/>
  </si>
  <si>
    <t>9LSL</t>
    <phoneticPr fontId="11" type="noConversion"/>
  </si>
  <si>
    <t>2300 Casual Hours</t>
    <phoneticPr fontId="11" type="noConversion"/>
  </si>
  <si>
    <t>2300 Casual Hours - New</t>
    <phoneticPr fontId="11" type="noConversion"/>
  </si>
  <si>
    <t>07.08.2019</t>
    <phoneticPr fontId="11" type="noConversion"/>
  </si>
  <si>
    <t>21.08.2019</t>
    <phoneticPr fontId="11" type="noConversion"/>
  </si>
  <si>
    <t>14.08.2019</t>
    <phoneticPr fontId="11" type="noConversion"/>
  </si>
  <si>
    <t>28.08.2019</t>
    <phoneticPr fontId="104" type="noConversion"/>
  </si>
  <si>
    <t>07.07.2019</t>
    <phoneticPr fontId="104" type="noConversion"/>
  </si>
  <si>
    <t>14.07.2019</t>
    <phoneticPr fontId="104" type="noConversion"/>
  </si>
  <si>
    <t>21.07.2019</t>
    <phoneticPr fontId="104" type="noConversion"/>
  </si>
  <si>
    <t>Testing of Absences &amp; LSL</t>
    <phoneticPr fontId="104" type="noConversion"/>
  </si>
  <si>
    <t>3003 Accident Leave</t>
    <phoneticPr fontId="104" type="noConversion"/>
  </si>
  <si>
    <t>3004 Maternity Leave Unpaid</t>
    <phoneticPr fontId="104" type="noConversion"/>
  </si>
  <si>
    <t>3005 Paternity Leave Unpaid</t>
    <phoneticPr fontId="104" type="noConversion"/>
  </si>
  <si>
    <t>3009 Leave Due to Miscarriage</t>
    <phoneticPr fontId="104" type="noConversion"/>
  </si>
  <si>
    <t xml:space="preserve">1000 Annual Leave             </t>
    <phoneticPr fontId="104" type="noConversion"/>
  </si>
  <si>
    <t>2000 Sick Leave</t>
    <phoneticPr fontId="104" type="noConversion"/>
  </si>
  <si>
    <t xml:space="preserve">5000 Long Service Leave       </t>
    <phoneticPr fontId="104" type="noConversion"/>
  </si>
  <si>
    <t>4000 Time in Lieu</t>
    <phoneticPr fontId="104" type="noConversion"/>
  </si>
  <si>
    <t xml:space="preserve">4040 Foreign Public Holiday </t>
    <phoneticPr fontId="104" type="noConversion"/>
  </si>
  <si>
    <t>4013 Compassionate Leave</t>
    <phoneticPr fontId="104" type="noConversion"/>
  </si>
  <si>
    <t xml:space="preserve">4023 Study Leave              </t>
    <phoneticPr fontId="104" type="noConversion"/>
  </si>
  <si>
    <t>4045 Marriage of Employee</t>
    <phoneticPr fontId="104" type="noConversion"/>
  </si>
  <si>
    <t>4046 Marriage of Employee Child</t>
    <phoneticPr fontId="104" type="noConversion"/>
  </si>
  <si>
    <t>4047 Extended Sick Leave</t>
    <phoneticPr fontId="104" type="noConversion"/>
  </si>
  <si>
    <t>3040 Leave Without Pay &gt; 90d</t>
    <phoneticPr fontId="104" type="noConversion"/>
  </si>
  <si>
    <t>3041 Sick Leave Unpaid &gt; 90d</t>
    <phoneticPr fontId="104" type="noConversion"/>
  </si>
  <si>
    <t>3057 Accident Leave</t>
    <phoneticPr fontId="104" type="noConversion"/>
  </si>
  <si>
    <t>3042 Maternity Leave Unpaid</t>
    <phoneticPr fontId="104" type="noConversion"/>
  </si>
  <si>
    <t>3043 Paternity Leave Unpaid</t>
    <phoneticPr fontId="104" type="noConversion"/>
  </si>
  <si>
    <t>3044 Prenatal Check-Up</t>
    <phoneticPr fontId="104" type="noConversion"/>
  </si>
  <si>
    <t>3045 Childcare Leave</t>
    <phoneticPr fontId="104" type="noConversion"/>
  </si>
  <si>
    <t>3046 Adoption Leave</t>
    <phoneticPr fontId="104" type="noConversion"/>
  </si>
  <si>
    <t>3047 Leave Due to Miscarriage</t>
    <phoneticPr fontId="104" type="noConversion"/>
  </si>
  <si>
    <t>3048 Sick Leave - SI Comp</t>
    <phoneticPr fontId="104" type="noConversion"/>
  </si>
  <si>
    <t>3007 Childcare Leave</t>
    <phoneticPr fontId="104" type="noConversion"/>
  </si>
  <si>
    <t>3008 Adoption Leave</t>
    <phoneticPr fontId="104" type="noConversion"/>
  </si>
  <si>
    <t>3010 Sick leave-SI compensation</t>
    <phoneticPr fontId="104" type="noConversion"/>
  </si>
  <si>
    <t>3000 Leave Without Pay</t>
    <phoneticPr fontId="104" type="noConversion"/>
  </si>
  <si>
    <t>3002 Sick Leave Without Pay&gt; 90 days</t>
    <phoneticPr fontId="104" type="noConversion"/>
  </si>
  <si>
    <t>3001 Leave Without Pay &gt; 90 days</t>
    <phoneticPr fontId="104" type="noConversion"/>
  </si>
  <si>
    <t>3006 Prenatal Check-Up</t>
    <phoneticPr fontId="104" type="noConversion"/>
  </si>
  <si>
    <t>01.08.2019</t>
  </si>
  <si>
    <t>01.08.2019</t>
    <phoneticPr fontId="104" type="noConversion"/>
  </si>
  <si>
    <t>30.09.2019</t>
  </si>
  <si>
    <t>30.09.2019</t>
    <phoneticPr fontId="104" type="noConversion"/>
  </si>
  <si>
    <t>5V10</t>
    <phoneticPr fontId="104" type="noConversion"/>
  </si>
  <si>
    <t>3AB1 Unpaid Lv Deduct – Base Pay</t>
    <phoneticPr fontId="104" type="noConversion"/>
  </si>
  <si>
    <t>3AB2 Unpaid Lv Deduct – Allow</t>
    <phoneticPr fontId="104" type="noConversion"/>
  </si>
  <si>
    <t>2001</t>
    <phoneticPr fontId="11" type="noConversion"/>
  </si>
  <si>
    <t>Quota Balance</t>
    <phoneticPr fontId="11" type="noConversion"/>
  </si>
  <si>
    <t>Abs. Type 4</t>
    <phoneticPr fontId="11" type="noConversion"/>
  </si>
  <si>
    <t>Start Date 4</t>
    <phoneticPr fontId="11" type="noConversion"/>
  </si>
  <si>
    <t>End Date 4</t>
    <phoneticPr fontId="11" type="noConversion"/>
  </si>
  <si>
    <t>70 LSL 1 Accr.</t>
  </si>
  <si>
    <t>71 LSL 2 Accr.</t>
  </si>
  <si>
    <t>04.08.2019</t>
    <phoneticPr fontId="104" type="noConversion"/>
  </si>
  <si>
    <t>11.08.2019</t>
    <phoneticPr fontId="104" type="noConversion"/>
  </si>
  <si>
    <t>18.08.2019</t>
    <phoneticPr fontId="104" type="noConversion"/>
  </si>
  <si>
    <t>2375 LSL Scheme 2 5yrs</t>
  </si>
  <si>
    <t>2375 LSL Scheme 2 5yrs</t>
    <phoneticPr fontId="104" type="noConversion"/>
  </si>
  <si>
    <t>2376 LSL Scheme 2 &gt;5yrs</t>
  </si>
  <si>
    <t>2376 LSL Scheme 2 &gt;5yrs</t>
    <phoneticPr fontId="104" type="noConversion"/>
  </si>
  <si>
    <t>ZX03</t>
    <phoneticPr fontId="11" type="noConversion"/>
  </si>
  <si>
    <t>ZY03</t>
    <phoneticPr fontId="11" type="noConversion"/>
  </si>
  <si>
    <t>ZZ03</t>
    <phoneticPr fontId="11" type="noConversion"/>
  </si>
  <si>
    <t>2410 Maternity Lv vPay</t>
    <phoneticPr fontId="104" type="noConversion"/>
  </si>
  <si>
    <t>2411 Parntl/Prentl/Miscar vPay</t>
    <phoneticPr fontId="104" type="noConversion"/>
  </si>
  <si>
    <t>SI Workding Days</t>
    <phoneticPr fontId="104" type="noConversion"/>
  </si>
  <si>
    <t>03.09.2019</t>
    <phoneticPr fontId="11" type="noConversion"/>
  </si>
  <si>
    <t>17.09.2019</t>
    <phoneticPr fontId="11" type="noConversion"/>
  </si>
  <si>
    <t>10.09.2019</t>
    <phoneticPr fontId="11" type="noConversion"/>
  </si>
  <si>
    <t>24.09.2019</t>
    <phoneticPr fontId="104" type="noConversion"/>
  </si>
  <si>
    <t>01.10.2019</t>
    <phoneticPr fontId="11" type="noConversion"/>
  </si>
  <si>
    <t>08.10.2019</t>
    <phoneticPr fontId="11" type="noConversion"/>
  </si>
  <si>
    <t>15.10.2019</t>
    <phoneticPr fontId="11" type="noConversion"/>
  </si>
  <si>
    <t>29.10.2019</t>
    <phoneticPr fontId="104" type="noConversion"/>
  </si>
  <si>
    <t>22.10.2019</t>
    <phoneticPr fontId="104" type="noConversion"/>
  </si>
  <si>
    <t>07.09.2019</t>
    <phoneticPr fontId="104" type="noConversion"/>
  </si>
  <si>
    <t>14.09.2019</t>
    <phoneticPr fontId="104" type="noConversion"/>
  </si>
  <si>
    <t>21.09.2019</t>
    <phoneticPr fontId="104" type="noConversion"/>
  </si>
  <si>
    <t>3220 ML Allow Paid by Social Security</t>
    <phoneticPr fontId="104" type="noConversion"/>
  </si>
  <si>
    <t>3255 2 Months of MIN Base Pay</t>
    <phoneticPr fontId="104" type="noConversion"/>
  </si>
  <si>
    <t>3221 Parntl/Prentl/Miscar Gov</t>
    <phoneticPr fontId="104" type="noConversion"/>
  </si>
  <si>
    <t xml:space="preserve">  Non-Taxable Allowance</t>
    <phoneticPr fontId="11" type="noConversion"/>
  </si>
  <si>
    <t>0015</t>
    <phoneticPr fontId="11" type="noConversion"/>
  </si>
  <si>
    <t>3230 ML Additional allow paid by ER</t>
    <phoneticPr fontId="11" type="noConversion"/>
  </si>
  <si>
    <t xml:space="preserve">3231 Parntl/Prentl/Miscar ER </t>
    <phoneticPr fontId="11" type="noConversion"/>
  </si>
  <si>
    <t>50 AL Accr.</t>
    <phoneticPr fontId="11" type="noConversion"/>
  </si>
  <si>
    <t>60 SL Accr.</t>
    <phoneticPr fontId="11" type="noConversion"/>
  </si>
  <si>
    <t>*/030 Severance Earings</t>
    <phoneticPr fontId="11" type="noConversion"/>
  </si>
  <si>
    <t>Maternity Lv after Y2019</t>
  </si>
  <si>
    <t>Maternity Lv after Y2019</t>
    <phoneticPr fontId="104" type="noConversion"/>
  </si>
  <si>
    <t xml:space="preserve">5080 Severance Pay  </t>
    <phoneticPr fontId="104" type="noConversion"/>
  </si>
  <si>
    <t>5091 SP Additional EE-taxed</t>
    <phoneticPr fontId="104" type="noConversion"/>
  </si>
  <si>
    <t>5090 SP Additional ER-taxed</t>
    <phoneticPr fontId="104" type="noConversion"/>
  </si>
  <si>
    <t>01.11.2019</t>
    <phoneticPr fontId="11" type="noConversion"/>
  </si>
  <si>
    <t>Last Working Day</t>
    <phoneticPr fontId="104" type="noConversion"/>
  </si>
  <si>
    <t>0416</t>
    <phoneticPr fontId="11" type="noConversion"/>
  </si>
  <si>
    <t>5050 AL Quota Compensation</t>
    <phoneticPr fontId="104" type="noConversion"/>
  </si>
  <si>
    <t>5060 Overused Sick Lv Deduct</t>
    <phoneticPr fontId="104" type="noConversion"/>
  </si>
  <si>
    <t>5070 LSL Quota Compensation</t>
    <phoneticPr fontId="104" type="noConversion"/>
  </si>
  <si>
    <t>05.10.2019</t>
    <phoneticPr fontId="104" type="noConversion"/>
  </si>
  <si>
    <t>12.10.2019</t>
    <phoneticPr fontId="104" type="noConversion"/>
  </si>
  <si>
    <t>19.10.2019</t>
    <phoneticPr fontId="104" type="noConversion"/>
  </si>
  <si>
    <t>12.11.2019</t>
    <phoneticPr fontId="11" type="noConversion"/>
  </si>
  <si>
    <t>26.11.2019</t>
    <phoneticPr fontId="11" type="noConversion"/>
  </si>
  <si>
    <t>05.11.2019</t>
    <phoneticPr fontId="104" type="noConversion"/>
  </si>
  <si>
    <t>19.11.2019</t>
    <phoneticPr fontId="11" type="noConversion"/>
  </si>
  <si>
    <t>3297 Sick Lv Gov Payment</t>
    <phoneticPr fontId="11" type="noConversion"/>
  </si>
  <si>
    <t>9100 Long Sick Lv Accrual</t>
    <phoneticPr fontId="11" type="noConversion"/>
  </si>
  <si>
    <t>9120 Annual Lv Accrual</t>
    <phoneticPr fontId="11" type="noConversion"/>
  </si>
  <si>
    <t>9140 Executive Bonus Accrual</t>
    <phoneticPr fontId="11" type="noConversion"/>
  </si>
  <si>
    <t>9150 Severance Accrual</t>
    <phoneticPr fontId="11" type="noConversion"/>
  </si>
  <si>
    <t>Payroll Accrual</t>
    <phoneticPr fontId="11" type="noConversion"/>
  </si>
  <si>
    <t>3601 House Rental Fee</t>
    <phoneticPr fontId="11" type="noConversion"/>
  </si>
  <si>
    <t>18.01.2019</t>
    <phoneticPr fontId="11" type="noConversion"/>
  </si>
  <si>
    <t>01.01.2019</t>
    <phoneticPr fontId="11" type="noConversion"/>
  </si>
  <si>
    <t>USD</t>
    <phoneticPr fontId="11" type="noConversion"/>
  </si>
  <si>
    <t>ER Taxable Payment</t>
    <phoneticPr fontId="11" type="noConversion"/>
  </si>
  <si>
    <t>3602 House Rental Fee ER Taxable</t>
    <phoneticPr fontId="104" type="noConversion"/>
  </si>
  <si>
    <t>5V31 Visa/TRC Gross-up</t>
    <phoneticPr fontId="104" type="noConversion"/>
  </si>
  <si>
    <t>5V40 Net Private Medical Ins</t>
    <phoneticPr fontId="104" type="noConversion"/>
  </si>
  <si>
    <t>5V41 Net Utilities</t>
    <phoneticPr fontId="104" type="noConversion"/>
  </si>
  <si>
    <t>5V42 Net Superannuation</t>
    <phoneticPr fontId="104" type="noConversion"/>
  </si>
  <si>
    <t>Tax Paid by EE</t>
    <phoneticPr fontId="11" type="noConversion"/>
  </si>
  <si>
    <t>30.04.2019</t>
    <phoneticPr fontId="11" type="noConversion"/>
  </si>
  <si>
    <t>Taxable Before Exemptions</t>
    <phoneticPr fontId="11" type="noConversion"/>
  </si>
  <si>
    <t>Taxable After Exemptions</t>
    <phoneticPr fontId="11" type="noConversion"/>
  </si>
  <si>
    <t>/400 Tax Current Month</t>
    <phoneticPr fontId="11" type="noConversion"/>
  </si>
  <si>
    <t>Tax Paid by ER</t>
    <phoneticPr fontId="104" type="noConversion"/>
  </si>
  <si>
    <t>Tax Paid by EE</t>
    <phoneticPr fontId="11" type="noConversion"/>
  </si>
  <si>
    <t>01.04.2019</t>
    <phoneticPr fontId="104" type="noConversion"/>
  </si>
  <si>
    <t>5V31</t>
    <phoneticPr fontId="104" type="noConversion"/>
  </si>
  <si>
    <t>5V40</t>
    <phoneticPr fontId="104" type="noConversion"/>
  </si>
  <si>
    <t>5V41</t>
    <phoneticPr fontId="104" type="noConversion"/>
  </si>
  <si>
    <t>5V42</t>
    <phoneticPr fontId="104" type="noConversion"/>
  </si>
  <si>
    <t>Net BIK</t>
    <phoneticPr fontId="104" type="noConversion"/>
  </si>
  <si>
    <t>Gross Up BIK</t>
    <phoneticPr fontId="104" type="noConversion"/>
  </si>
  <si>
    <t>Taxable BIK</t>
    <phoneticPr fontId="104" type="noConversion"/>
  </si>
  <si>
    <t>1st Gross Up</t>
    <phoneticPr fontId="11" type="noConversion"/>
  </si>
  <si>
    <t>YTD Taxable Income</t>
    <phoneticPr fontId="11" type="noConversion"/>
  </si>
  <si>
    <t>YTD Taxable Income</t>
    <phoneticPr fontId="104" type="noConversion"/>
  </si>
  <si>
    <t>2010</t>
    <phoneticPr fontId="104" type="noConversion"/>
  </si>
  <si>
    <t>01.05.2019</t>
    <phoneticPr fontId="104" type="noConversion"/>
  </si>
  <si>
    <t>2100 Emergency Teaching Allowance</t>
    <phoneticPr fontId="104" type="noConversion"/>
  </si>
  <si>
    <t>YTD Taxable Income</t>
    <phoneticPr fontId="104" type="noConversion"/>
  </si>
  <si>
    <t>YTD Taxable Income</t>
    <phoneticPr fontId="104" type="noConversion"/>
  </si>
  <si>
    <t>Testing of OT for Annual Maxium OT Hours &amp; IT14 input for Absence Rate testing</t>
    <phoneticPr fontId="104" type="noConversion"/>
  </si>
  <si>
    <t>03.11.2019</t>
    <phoneticPr fontId="104" type="noConversion"/>
  </si>
  <si>
    <t>10.11.2019</t>
    <phoneticPr fontId="104" type="noConversion"/>
  </si>
  <si>
    <t>17.11.2019</t>
    <phoneticPr fontId="104" type="noConversion"/>
  </si>
  <si>
    <t>3113 13th Month Salary</t>
    <phoneticPr fontId="104" type="noConversion"/>
  </si>
  <si>
    <t>9130 13th Salary Accrual</t>
    <phoneticPr fontId="11" type="noConversion"/>
  </si>
  <si>
    <t>9131 13th Salar Accrual Reversal</t>
    <phoneticPr fontId="104" type="noConversion"/>
  </si>
  <si>
    <t>Testing of Annual Maximum OT Hours &amp; Overused AL</t>
    <phoneticPr fontId="104" type="noConversion"/>
  </si>
  <si>
    <t>2001</t>
    <phoneticPr fontId="104" type="noConversion"/>
  </si>
  <si>
    <t>Old Quota Balance</t>
    <phoneticPr fontId="11" type="noConversion"/>
  </si>
  <si>
    <t>New Quota Balance</t>
    <phoneticPr fontId="11" type="noConversion"/>
  </si>
  <si>
    <t>Last Working Day</t>
    <phoneticPr fontId="104" type="noConversion"/>
  </si>
  <si>
    <t>Y2020 Related Info.</t>
    <phoneticPr fontId="11" type="noConversion"/>
  </si>
  <si>
    <t>YEA Session</t>
    <phoneticPr fontId="104" type="noConversion"/>
  </si>
  <si>
    <t>Total Personnel Deduction</t>
    <phoneticPr fontId="104" type="noConversion"/>
  </si>
  <si>
    <t>Total DP Deduction</t>
    <phoneticPr fontId="104" type="noConversion"/>
  </si>
  <si>
    <t>YTD Accessable Income</t>
    <phoneticPr fontId="104" type="noConversion"/>
  </si>
  <si>
    <t>Monthly Average Accessable Income</t>
    <phoneticPr fontId="104" type="noConversion"/>
  </si>
  <si>
    <t>Monthly Average Tax</t>
    <phoneticPr fontId="104" type="noConversion"/>
  </si>
  <si>
    <t>Total Annual Tax</t>
    <phoneticPr fontId="104" type="noConversion"/>
  </si>
  <si>
    <t>Testing of 13th Month Salary &amp; Quota Generation &amp; YE &amp; New Exchange Rate</t>
    <phoneticPr fontId="104" type="noConversion"/>
  </si>
  <si>
    <t>RMIT</t>
    <phoneticPr fontId="11" type="noConversion"/>
  </si>
  <si>
    <t>Summer Xia</t>
    <phoneticPr fontId="11" type="noConversion"/>
  </si>
  <si>
    <t>Y2019 - Y2020</t>
    <phoneticPr fontId="11" type="noConversion"/>
  </si>
  <si>
    <t>UAT13</t>
    <phoneticPr fontId="104" type="noConversion"/>
  </si>
  <si>
    <t>Jan'20</t>
    <phoneticPr fontId="104" type="noConversion"/>
  </si>
  <si>
    <t>Days</t>
    <phoneticPr fontId="104" type="noConversion"/>
  </si>
  <si>
    <t>MasterData Assign Employee Income more than 20 times of Minimum Pay  -  IT0008</t>
    <phoneticPr fontId="11" type="noConversion"/>
  </si>
  <si>
    <t>1,2</t>
    <phoneticPr fontId="11" type="noConversion"/>
  </si>
  <si>
    <t>9,10</t>
    <phoneticPr fontId="11" type="noConversion"/>
  </si>
  <si>
    <t>1,2</t>
    <phoneticPr fontId="11" type="noConversion"/>
  </si>
  <si>
    <t>3,4</t>
    <phoneticPr fontId="11" type="noConversion"/>
  </si>
  <si>
    <t>Payment EE Remuneration - IT2010 Emergency Teaching Allowance</t>
    <phoneticPr fontId="11" type="noConversion"/>
  </si>
  <si>
    <t>9,10</t>
    <phoneticPr fontId="11" type="noConversion"/>
  </si>
  <si>
    <t>1,2,all</t>
    <phoneticPr fontId="11" type="noConversion"/>
  </si>
  <si>
    <t>Average salary of previous 6 months</t>
    <phoneticPr fontId="11" type="noConversion"/>
  </si>
  <si>
    <t>all</t>
    <phoneticPr fontId="11" type="noConversion"/>
  </si>
  <si>
    <t xml:space="preserve">Hourly rates of Pay  /004 </t>
    <phoneticPr fontId="11" type="noConversion"/>
  </si>
  <si>
    <t>11,12</t>
    <phoneticPr fontId="11" type="noConversion"/>
  </si>
  <si>
    <t>9,10</t>
    <phoneticPr fontId="11" type="noConversion"/>
  </si>
  <si>
    <t>6-12</t>
    <phoneticPr fontId="11" type="noConversion"/>
  </si>
  <si>
    <t>1</t>
    <phoneticPr fontId="104" type="noConversion"/>
  </si>
  <si>
    <t>1</t>
    <phoneticPr fontId="104" type="noConversion"/>
  </si>
  <si>
    <t>2,7</t>
    <phoneticPr fontId="11" type="noConversion"/>
  </si>
  <si>
    <t>6,7</t>
    <phoneticPr fontId="11" type="noConversion"/>
  </si>
  <si>
    <t>Leave Provision - Annual Leave, LSL,Unpaid Leave</t>
    <phoneticPr fontId="11" type="noConversion"/>
  </si>
  <si>
    <t>Payment Absences - IT 2001  eg Annual, Personal, LSL etc.</t>
    <phoneticPr fontId="11" type="noConversion"/>
  </si>
  <si>
    <t>Payment Attendance - IT 2002 Time in Lieu &amp; OT &amp; PH Worked &amp; Casual Hours</t>
    <phoneticPr fontId="11" type="noConversion"/>
  </si>
  <si>
    <t>6-12</t>
    <phoneticPr fontId="11" type="noConversion"/>
  </si>
  <si>
    <t>Substitution - IT2003 Swap WSR impact salary</t>
    <phoneticPr fontId="11" type="noConversion"/>
  </si>
  <si>
    <t>General Index</t>
    <phoneticPr fontId="104" type="noConversion"/>
  </si>
  <si>
    <t>Testing of New Hires, Proration and Info Types 0008 and 0014 &amp; Quota Upfront for AL &amp; SL</t>
    <phoneticPr fontId="11" type="noConversion"/>
  </si>
  <si>
    <t>Testing of new Hires, proration, infotypes 008 &amp; 14
1. EE 91999909 start date end of prev month retro/prorate.</t>
    <phoneticPr fontId="104" type="noConversion"/>
  </si>
  <si>
    <t>Testing of Casual Hours on PH &amp; Weekend</t>
    <phoneticPr fontId="104" type="noConversion"/>
  </si>
  <si>
    <t>Testing of Retro Salary Increase &amp; OT &amp; Retro Change of PT EE WSR
1. EE 91999913 has retro salary increase &amp; OT new rate should be applied after increase.
2. EE 91999904 OT rates before/after salary increase.
3. EE 91999902's WSR changed from 01.01.2019, AL &amp; SL quota recalculated based on new WSR hours.</t>
    <phoneticPr fontId="104" type="noConversion"/>
  </si>
  <si>
    <t>UAT13 - Jan'20</t>
    <phoneticPr fontId="104" type="noConversion"/>
  </si>
  <si>
    <t>Gross Up</t>
    <phoneticPr fontId="11" type="noConversion"/>
  </si>
  <si>
    <t>1000</t>
  </si>
  <si>
    <t>Salary</t>
  </si>
  <si>
    <t>Nominal Salary</t>
  </si>
  <si>
    <t>Casual Hours Wage</t>
  </si>
  <si>
    <t>3525</t>
  </si>
  <si>
    <t>5V00</t>
  </si>
  <si>
    <t>MI Monthly Target</t>
  </si>
  <si>
    <t>5V01</t>
  </si>
  <si>
    <t>Monthly MI by ER</t>
  </si>
  <si>
    <t>5V02</t>
  </si>
  <si>
    <t>Monthly MI by EE</t>
  </si>
  <si>
    <t>5V08</t>
  </si>
  <si>
    <t>5V03</t>
  </si>
  <si>
    <t>Monthly MI by ER - DP</t>
  </si>
  <si>
    <t>5V04</t>
  </si>
  <si>
    <t>Monthly MI by EE - DP</t>
  </si>
  <si>
    <t>5V05</t>
  </si>
  <si>
    <t>DI Monthly Target</t>
  </si>
  <si>
    <t>5V06</t>
  </si>
  <si>
    <t>Monthly DI by EE</t>
  </si>
  <si>
    <t>5V07</t>
  </si>
  <si>
    <t>Monthly DI by EE - DP</t>
  </si>
  <si>
    <t>International Relocation Assistance</t>
  </si>
  <si>
    <t>Salary packaging reconciliation - Airfare</t>
  </si>
  <si>
    <t>Salary packaging reconciliation - School Fee</t>
  </si>
  <si>
    <t>13th Month Salary</t>
  </si>
  <si>
    <t>Mobile phone allowance</t>
  </si>
  <si>
    <t>Managerial Allowance</t>
  </si>
  <si>
    <t>Higher Duties Allowance</t>
  </si>
  <si>
    <t>5V10</t>
  </si>
  <si>
    <t>Merit payment</t>
  </si>
  <si>
    <t>3132</t>
  </si>
  <si>
    <t>Driving allowance</t>
  </si>
  <si>
    <t xml:space="preserve">Severance Pay  </t>
  </si>
  <si>
    <t>SP Base - Mannual</t>
  </si>
  <si>
    <t>SP Base</t>
  </si>
  <si>
    <t>YOS for SP</t>
  </si>
  <si>
    <t>YOS for SP - Manual</t>
  </si>
  <si>
    <t>SP Additional ER-taxed</t>
  </si>
  <si>
    <t>SP Additional EE-taxed</t>
  </si>
  <si>
    <t>Contribution to Social Security paid to employee by RMIT VN</t>
  </si>
  <si>
    <t>Long Sick Lv Accrual</t>
  </si>
  <si>
    <t>Annual Lv Accrual</t>
  </si>
  <si>
    <t>13th Salary Accrual</t>
  </si>
  <si>
    <t>13th Salar Accrual Reversal</t>
  </si>
  <si>
    <t>Executive Bonus Accrual</t>
  </si>
  <si>
    <t>Severance Accrual</t>
  </si>
  <si>
    <t>Emergency Teaching Allowance</t>
  </si>
  <si>
    <t>OT Weekday 150%</t>
  </si>
  <si>
    <t>OT Weekday Night 195%</t>
  </si>
  <si>
    <t>OT Weekend day 200%</t>
  </si>
  <si>
    <t>OT Weekend night 260%</t>
  </si>
  <si>
    <t xml:space="preserve">OT Holiday </t>
  </si>
  <si>
    <t>OT Holiday Night</t>
  </si>
  <si>
    <t>2410</t>
  </si>
  <si>
    <t>Maternity Lv vPay</t>
  </si>
  <si>
    <t>2411</t>
  </si>
  <si>
    <t>Parntl/Prentl/Miscar vPay</t>
  </si>
  <si>
    <t>ML Allow Paid by Social Security</t>
  </si>
  <si>
    <t>2 Months of MIN Base Pay</t>
  </si>
  <si>
    <t>ML Additional allow paid by ER</t>
  </si>
  <si>
    <t>Parntl/Prentl/Miscar Gov</t>
  </si>
  <si>
    <t xml:space="preserve">Parntl/Prentl/Miscar ER </t>
  </si>
  <si>
    <t>One-time Pay for VP</t>
  </si>
  <si>
    <t>AL Quota Compensation</t>
  </si>
  <si>
    <t>LSL Quota Compensation</t>
  </si>
  <si>
    <t>ChildCare Lv Gov Payment</t>
  </si>
  <si>
    <t>Sick Lv Gov Payment</t>
  </si>
  <si>
    <t>Overused Sick Lv Deduct</t>
  </si>
  <si>
    <t>Childcare Leave</t>
  </si>
  <si>
    <t>Leave Due to Miscarriage</t>
  </si>
  <si>
    <t>Accident Leave</t>
  </si>
  <si>
    <t>Adoption Leave</t>
  </si>
  <si>
    <t>Sick leave-SI compensation</t>
  </si>
  <si>
    <t>Sick Leave Without Pay - more than 90 days</t>
  </si>
  <si>
    <t>Leave Without Pay</t>
  </si>
  <si>
    <t>Leave Without Pay - more than 90 days</t>
  </si>
  <si>
    <t>Maternity Leave Unpaid</t>
  </si>
  <si>
    <t>Paternity Leave Unpaid</t>
  </si>
  <si>
    <t>Prenatal Check-Up</t>
  </si>
  <si>
    <t>3AB1</t>
  </si>
  <si>
    <t>Unpaid Lv Deduct – Base Pay</t>
  </si>
  <si>
    <t>3AB2</t>
  </si>
  <si>
    <t>Unpaid Lv Deduct – Allow</t>
  </si>
  <si>
    <t>House Rental Fee</t>
  </si>
  <si>
    <t>House Rental Fee ER Taxable</t>
  </si>
  <si>
    <t>5V40</t>
  </si>
  <si>
    <t>Net Private Medical Ins</t>
  </si>
  <si>
    <t>5V41</t>
  </si>
  <si>
    <t>Net Utilities</t>
  </si>
  <si>
    <t>5V42</t>
  </si>
  <si>
    <t>Net Superannuation</t>
  </si>
  <si>
    <t>5V31</t>
  </si>
  <si>
    <t>Visa/TRC Gross-up</t>
  </si>
  <si>
    <t>Compensation for breach of advanced notice</t>
  </si>
  <si>
    <t>7V30</t>
  </si>
  <si>
    <t xml:space="preserve">Super - ER Post Tax      </t>
  </si>
  <si>
    <t>/320</t>
  </si>
  <si>
    <t>CSI EE Contribution</t>
  </si>
  <si>
    <t>/340</t>
  </si>
  <si>
    <t>UI EE Contribution</t>
  </si>
  <si>
    <t>/350</t>
  </si>
  <si>
    <t>HI EE Contribution</t>
  </si>
  <si>
    <t>/400</t>
  </si>
  <si>
    <t>Tax</t>
  </si>
  <si>
    <t>/402</t>
  </si>
  <si>
    <t>PIT Finalization</t>
  </si>
  <si>
    <t>Auto</t>
    <phoneticPr fontId="11" type="noConversion"/>
  </si>
  <si>
    <t>0014</t>
    <phoneticPr fontId="11" type="noConversion"/>
  </si>
  <si>
    <t>0008</t>
    <phoneticPr fontId="11" type="noConversion"/>
  </si>
  <si>
    <t>0015</t>
    <phoneticPr fontId="11" type="noConversion"/>
  </si>
  <si>
    <t>Auto</t>
    <phoneticPr fontId="11" type="noConversion"/>
  </si>
  <si>
    <t>UAT1,2,8,9</t>
    <phoneticPr fontId="11" type="noConversion"/>
  </si>
  <si>
    <t>UAT3</t>
    <phoneticPr fontId="11" type="noConversion"/>
  </si>
  <si>
    <t>UAT13</t>
    <phoneticPr fontId="11" type="noConversion"/>
  </si>
  <si>
    <t>All</t>
    <phoneticPr fontId="11" type="noConversion"/>
  </si>
  <si>
    <t>UAT11</t>
    <phoneticPr fontId="11" type="noConversion"/>
  </si>
  <si>
    <t>UAT1,2</t>
    <phoneticPr fontId="11" type="noConversion"/>
  </si>
  <si>
    <t>UAT13</t>
    <phoneticPr fontId="11" type="noConversion"/>
  </si>
  <si>
    <t>0008</t>
    <phoneticPr fontId="11" type="noConversion"/>
  </si>
  <si>
    <t>Auto</t>
    <phoneticPr fontId="11" type="noConversion"/>
  </si>
  <si>
    <t>0014</t>
    <phoneticPr fontId="11" type="noConversion"/>
  </si>
  <si>
    <t>All</t>
    <phoneticPr fontId="11" type="noConversion"/>
  </si>
  <si>
    <t>2010</t>
    <phoneticPr fontId="11" type="noConversion"/>
  </si>
  <si>
    <t>UAT6</t>
    <phoneticPr fontId="11" type="noConversion"/>
  </si>
  <si>
    <t>UAT6,7</t>
    <phoneticPr fontId="11" type="noConversion"/>
  </si>
  <si>
    <t>UAT6,7,8,9,10,11,12</t>
    <phoneticPr fontId="11" type="noConversion"/>
  </si>
  <si>
    <t>UAT9,10</t>
    <phoneticPr fontId="11" type="noConversion"/>
  </si>
  <si>
    <t>UAT10</t>
    <phoneticPr fontId="11" type="noConversion"/>
  </si>
  <si>
    <t>Auto</t>
    <phoneticPr fontId="11" type="noConversion"/>
  </si>
  <si>
    <t>UAT3</t>
    <phoneticPr fontId="11" type="noConversion"/>
  </si>
  <si>
    <t>0416</t>
    <phoneticPr fontId="11" type="noConversion"/>
  </si>
  <si>
    <t>5050</t>
    <phoneticPr fontId="11" type="noConversion"/>
  </si>
  <si>
    <t>5070</t>
    <phoneticPr fontId="11" type="noConversion"/>
  </si>
  <si>
    <t>UAT11</t>
    <phoneticPr fontId="11" type="noConversion"/>
  </si>
  <si>
    <t>UAT9</t>
    <phoneticPr fontId="11" type="noConversion"/>
  </si>
  <si>
    <t>2376</t>
    <phoneticPr fontId="11" type="noConversion"/>
  </si>
  <si>
    <t>LSL Scheme 2 5yrs</t>
    <phoneticPr fontId="11" type="noConversion"/>
  </si>
  <si>
    <t>LSL Scheme 2 &gt;5yrs</t>
    <phoneticPr fontId="11" type="noConversion"/>
  </si>
  <si>
    <t>UAT3</t>
    <phoneticPr fontId="11" type="noConversion"/>
  </si>
  <si>
    <t>3298 ChildCare Lv Gov Payment</t>
    <phoneticPr fontId="11" type="noConversion"/>
  </si>
  <si>
    <t>UAT10</t>
    <phoneticPr fontId="11" type="noConversion"/>
  </si>
  <si>
    <t>UAT9,10</t>
    <phoneticPr fontId="11" type="noConversion"/>
  </si>
  <si>
    <t>UAT9,10</t>
    <phoneticPr fontId="11" type="noConversion"/>
  </si>
  <si>
    <t>0014</t>
    <phoneticPr fontId="11" type="noConversion"/>
  </si>
  <si>
    <t>UAT1,2,3,4</t>
    <phoneticPr fontId="11" type="noConversion"/>
  </si>
  <si>
    <t>UAT4</t>
    <phoneticPr fontId="11" type="noConversion"/>
  </si>
  <si>
    <t>UAT1,2</t>
    <phoneticPr fontId="11" type="noConversion"/>
  </si>
  <si>
    <t>Auto</t>
    <phoneticPr fontId="11" type="noConversion"/>
  </si>
  <si>
    <t>UAT13</t>
    <phoneticPr fontId="11" type="noConversion"/>
  </si>
  <si>
    <t>Trade Union</t>
    <phoneticPr fontId="11" type="noConversion"/>
  </si>
  <si>
    <t>7060 Trade Union</t>
    <phoneticPr fontId="11" type="noConversion"/>
  </si>
  <si>
    <t>Payroll  WTs</t>
    <phoneticPr fontId="11" type="noConversion"/>
  </si>
  <si>
    <t>TLM WTs</t>
    <phoneticPr fontId="11" type="noConversion"/>
  </si>
  <si>
    <t>PH Ordinary @ 1.0</t>
  </si>
  <si>
    <t>Overtime Ordinary @ 1.0</t>
  </si>
  <si>
    <t>OT Weekday Day @ 50%</t>
  </si>
  <si>
    <t>OT Weekday Night @ 95%</t>
  </si>
  <si>
    <t>OT Weekend Day @ 100%</t>
  </si>
  <si>
    <t>OT Weekend Night @ 160%</t>
  </si>
  <si>
    <t>PH Day @ 200%</t>
  </si>
  <si>
    <t>PH Night @ 290%</t>
  </si>
  <si>
    <t>Casual Hours</t>
  </si>
  <si>
    <t>Annual Leave</t>
  </si>
  <si>
    <t>Long Service Leave</t>
  </si>
  <si>
    <t>Leave Without Pay &gt; 90d</t>
  </si>
  <si>
    <t>Sick Leave Unpaid &gt; 90d</t>
  </si>
  <si>
    <t>Sick Leave - SI Comp</t>
  </si>
  <si>
    <t>Sick Leave</t>
  </si>
  <si>
    <t xml:space="preserve">Annual Leave             </t>
  </si>
  <si>
    <t xml:space="preserve">Long Service Leave       </t>
  </si>
  <si>
    <t>Time in Lieu</t>
  </si>
  <si>
    <t xml:space="preserve">Foreign Public Holiday </t>
  </si>
  <si>
    <t>Compassionate Leave</t>
  </si>
  <si>
    <t xml:space="preserve">Study Leave              </t>
  </si>
  <si>
    <t>Marriage of Employee</t>
  </si>
  <si>
    <t>Marriage of EmployeeChild</t>
  </si>
  <si>
    <t>Extended Sick Leave</t>
  </si>
  <si>
    <t>Overtime</t>
  </si>
  <si>
    <t>Public Holiday Worked</t>
  </si>
  <si>
    <t>WT2110 Overtime Ordinary @ 1.0</t>
    <phoneticPr fontId="104" type="noConversion"/>
  </si>
  <si>
    <t>UAT6,7,8,9,10,11,12</t>
    <phoneticPr fontId="11" type="noConversion"/>
  </si>
  <si>
    <t>UAT6,7</t>
    <phoneticPr fontId="11" type="noConversion"/>
  </si>
  <si>
    <t>2002</t>
    <phoneticPr fontId="11" type="noConversion"/>
  </si>
  <si>
    <t>UAT9,12</t>
    <phoneticPr fontId="11" type="noConversion"/>
  </si>
  <si>
    <t>UAT9</t>
    <phoneticPr fontId="11" type="noConversion"/>
  </si>
  <si>
    <t xml:space="preserve">2501 Annual Leave             </t>
    <phoneticPr fontId="104" type="noConversion"/>
  </si>
  <si>
    <t xml:space="preserve">2701 Long Service Leave       </t>
    <phoneticPr fontId="104" type="noConversion"/>
  </si>
  <si>
    <t>Attendance</t>
  </si>
  <si>
    <t>Attendance</t>
    <phoneticPr fontId="104" type="noConversion"/>
  </si>
  <si>
    <t>2002</t>
    <phoneticPr fontId="104" type="noConversion"/>
  </si>
  <si>
    <t>01</t>
  </si>
  <si>
    <t>ADP: Manual Substitution</t>
  </si>
  <si>
    <t>2003</t>
    <phoneticPr fontId="11" type="noConversion"/>
  </si>
  <si>
    <t>2003</t>
    <phoneticPr fontId="104" type="noConversion"/>
  </si>
  <si>
    <t>Substitution</t>
    <phoneticPr fontId="104" type="noConversion"/>
  </si>
  <si>
    <t>Substitution</t>
  </si>
  <si>
    <t>TBD</t>
    <phoneticPr fontId="11" type="noConversion"/>
  </si>
  <si>
    <t>UAT6</t>
    <phoneticPr fontId="11" type="noConversion"/>
  </si>
  <si>
    <t>2001</t>
    <phoneticPr fontId="11" type="noConversion"/>
  </si>
  <si>
    <t>2230</t>
    <phoneticPr fontId="11" type="noConversion"/>
  </si>
  <si>
    <t>30% Shift Loading</t>
    <phoneticPr fontId="11" type="noConversion"/>
  </si>
  <si>
    <t>9100 LSL Accrual</t>
    <phoneticPr fontId="11" type="noConversion"/>
  </si>
  <si>
    <t>/402 PIT Finalization</t>
    <phoneticPr fontId="104" type="noConversion"/>
  </si>
  <si>
    <t>N</t>
    <phoneticPr fontId="104" type="noConversion"/>
  </si>
  <si>
    <t>X</t>
    <phoneticPr fontId="11" type="noConversion"/>
  </si>
  <si>
    <t>Termination Date</t>
    <phoneticPr fontId="104" type="noConversion"/>
  </si>
  <si>
    <t>0416</t>
    <phoneticPr fontId="104" type="noConversion"/>
  </si>
  <si>
    <t>07.06.2019</t>
    <phoneticPr fontId="104" type="noConversion"/>
  </si>
  <si>
    <t>N/A</t>
    <phoneticPr fontId="104" type="noConversion"/>
  </si>
  <si>
    <t>Testing of Retro Salary Increase &amp; OT &amp; Retro Change of PT EE WSR &amp; Terminated EE with Additional Payments</t>
    <phoneticPr fontId="104" type="noConversion"/>
  </si>
  <si>
    <t>3200 Sales Incentive</t>
    <phoneticPr fontId="104" type="noConversion"/>
  </si>
  <si>
    <t>0015</t>
    <phoneticPr fontId="104" type="noConversion"/>
  </si>
  <si>
    <t>01.07.2019</t>
    <phoneticPr fontId="104" type="noConversion"/>
  </si>
  <si>
    <t>20.08.2019</t>
    <phoneticPr fontId="104" type="noConversion"/>
  </si>
  <si>
    <t>21.08.2019</t>
    <phoneticPr fontId="104" type="noConversion"/>
  </si>
  <si>
    <t>0008</t>
    <phoneticPr fontId="11" type="noConversion"/>
  </si>
  <si>
    <t>01.10.2019</t>
    <phoneticPr fontId="11" type="noConversion"/>
  </si>
  <si>
    <t>Claim</t>
    <phoneticPr fontId="104" type="noConversion"/>
  </si>
  <si>
    <t>Testing of Info Type 0015 &amp; Claim</t>
    <phoneticPr fontId="104" type="noConversion"/>
  </si>
  <si>
    <t>Testing of Info Type 0015 &amp; Claim
1. EE 91999914 claim due to overdeduction.</t>
    <phoneticPr fontId="104" type="noConversion"/>
  </si>
  <si>
    <t>Testing of gross up &amp; Claim from Previous Month</t>
    <phoneticPr fontId="104" type="noConversion"/>
  </si>
  <si>
    <t>Testing of Full Month Absences with PH &amp; Gov Paid Lv. &amp; Return for Work</t>
    <phoneticPr fontId="104" type="noConversion"/>
  </si>
  <si>
    <t>Testing of Termination &amp; SP &amp; Leave Encashment &amp; Constant change for 5V00</t>
    <phoneticPr fontId="104" type="noConversion"/>
  </si>
  <si>
    <t>/563 Claim from Previous Month</t>
    <phoneticPr fontId="104" type="noConversion"/>
  </si>
  <si>
    <t>3,4</t>
    <phoneticPr fontId="11" type="noConversion"/>
  </si>
  <si>
    <t>*/400 Taxation</t>
    <phoneticPr fontId="104" type="noConversion"/>
  </si>
  <si>
    <t>YTD accumulated OT &amp; TOIL</t>
    <phoneticPr fontId="104" type="noConversion"/>
  </si>
  <si>
    <t>Testing of Salary Increase &amp; OT &amp; Time in Lieu &amp; Emergency Teaching Allowance &amp; Contract Ends &amp; Leave encashment &amp; Retro Dependent Change</t>
    <phoneticPr fontId="104" type="noConversion"/>
  </si>
  <si>
    <t>Testing of Salary Increase &amp; OT &amp; Time in Lieu &amp; Emergency Teaching Allowance &amp; Contract Ends &amp; Leave encashment &amp; Retro Dependent Change
1. EE 91999904 salary increase and org trans in the mid of month.
2. EE 91999912 salary increase from early in the month.
3. EE 91999914 hourly salary increase in middle of the month.
4. EE 91999904 OT on PH &amp; daily maximum OT hours.
5. EE 91999912 OT on weekend &amp; monthly maximum OT hours &amp; mid-night OT.
6. EE 91999901 time in lieu rule 01.
7. EE 91999909 time in lieu rule 02.
8. EE 91999908 IT2010 WT2100 Emergency Teaching Allowance.
9. EE 91999903 terminated as contract ends.
10. EE 91999903 depedent number changed from 1 to 0 from Jan.</t>
    <phoneticPr fontId="104" type="noConversion"/>
  </si>
  <si>
    <t>Testing of Full Month Absences with PH &amp; Gov Paid Lv. &amp; Return for Work
1. EE 91999903 full month absence w/o pay, PH unpaid.
2. EE 91999907 not full month absence, PH paid.
3. EE 91999902 &amp; 91999903 &amp; 91999904 &amp; 91999907 &amp; 91999913 Gov. paid allowance.
4. EE 91999903 &amp; 91999904 &amp; 91999907 maternity leave adjustment by ER.
5. EE 91999910 Parntl/Prentl/Miscar adjustment by ER.
6. EE 91999904 claim due to unpaid leave.</t>
    <phoneticPr fontId="104" type="noConversion"/>
  </si>
  <si>
    <t>Testing of Termination &amp; SP &amp; Leave Encashment &amp; Constant change for 5V00
1. EE 91999902 &amp; 91999913 terminated before month end.
2. EE 91999907 termianted at month end.
3. EE 91999902 overused SL quota &amp; LSL quota 70 encashment.
4. EE 91999907 standard SP with WT9032 &amp; 9034 input.
5. EE 91999902 ER taxed SP.
6. EE 91999913 EE taxed SP.
7. EE 91999906 constant for WT5V00 switch to 366 instead of 365.</t>
    <phoneticPr fontId="104" type="noConversion"/>
  </si>
  <si>
    <t>1. UAT testing plan updated according to latest project time line.
2. Index List, General Index and Summary updated.
3. UAT1 - 13 Factor /803 and WT9113 calculation rule updated.
4. UAT1 - 13 Maximum OT &amp; Time in Lieu hours updated.
5. Quota 81 removed and foreign PH is paid leave without quotation.
6. EE91999903
- Changed to rehire case 
- Retro dependent change and tax retro calculation
- Terminated EE with additional payments
- AL entitlement upfront based on year-end instead of contract end date</t>
    <phoneticPr fontId="11" type="noConversion"/>
  </si>
  <si>
    <t>*Active Working Days</t>
    <phoneticPr fontId="11" type="noConversion"/>
  </si>
  <si>
    <t>*Active Calendar Days</t>
    <phoneticPr fontId="11" type="noConversion"/>
  </si>
  <si>
    <t>*Factoring 801</t>
    <phoneticPr fontId="11" type="noConversion"/>
  </si>
  <si>
    <t>*5V00 MI Monthly Target</t>
    <phoneticPr fontId="11" type="noConversion"/>
  </si>
  <si>
    <t>*5V05 DI Monthly Target</t>
    <phoneticPr fontId="11" type="noConversion"/>
  </si>
  <si>
    <t>*5V01 Monthly MI by ER</t>
    <phoneticPr fontId="11" type="noConversion"/>
  </si>
  <si>
    <t>*5V03 Monthly MI by ER - DP</t>
    <phoneticPr fontId="11" type="noConversion"/>
  </si>
  <si>
    <t>Claim</t>
    <phoneticPr fontId="104" type="noConversion"/>
  </si>
  <si>
    <t>0008</t>
    <phoneticPr fontId="104" type="noConversion"/>
  </si>
  <si>
    <t>01.12.2019</t>
    <phoneticPr fontId="104" type="noConversion"/>
  </si>
  <si>
    <t>31.12.9999</t>
    <phoneticPr fontId="104" type="noConversion"/>
  </si>
  <si>
    <t>*1100 Higher Duties Allowance</t>
    <phoneticPr fontId="11" type="noConversion"/>
  </si>
  <si>
    <t>*9113 13th Salary Cumulation</t>
    <phoneticPr fontId="11" type="noConversion"/>
  </si>
  <si>
    <t>D</t>
    <phoneticPr fontId="104" type="noConversion"/>
  </si>
  <si>
    <t>*/400 Taxation</t>
    <phoneticPr fontId="104" type="noConversion"/>
  </si>
  <si>
    <t>*Tax Paid by EE</t>
    <phoneticPr fontId="11" type="noConversion"/>
  </si>
  <si>
    <t>/563 Claim from previous</t>
    <phoneticPr fontId="104" type="noConversion"/>
  </si>
  <si>
    <t>D</t>
    <phoneticPr fontId="104" type="noConversion"/>
  </si>
  <si>
    <t>Testing of Annual Maximum OT Hours &amp; Overused AL
1. EE 91999905 AL overused and negative quota balance generated.
2. EE 91999912 annual OT hours capped at 200 hours.
3. EE 91999904 retro terminated case with claim,</t>
    <phoneticPr fontId="104" type="noConversion"/>
  </si>
  <si>
    <t>01.03.2019</t>
    <phoneticPr fontId="104" type="noConversion"/>
  </si>
  <si>
    <t>Testing of gross up &amp; Claim from Previous Month
1. EE 91999906 &amp; EE 91999907 with WT3601 input for WT3602 calculation.
2. EE 91999901 &amp; EE 91999904 without WT3601 input for WT3602 calculation.
3. EE 91999904 claim from previous month.
4. EE 91999904 retro input of ER taxed WT.</t>
    <phoneticPr fontId="104" type="noConversion"/>
  </si>
  <si>
    <t>1</t>
    <phoneticPr fontId="104" type="noConversion"/>
  </si>
  <si>
    <t>0008</t>
    <phoneticPr fontId="104" type="noConversion"/>
  </si>
  <si>
    <t>01.05.2019</t>
    <phoneticPr fontId="104" type="noConversion"/>
  </si>
  <si>
    <t>31.12.9999</t>
    <phoneticPr fontId="104" type="noConversion"/>
  </si>
  <si>
    <t>1</t>
    <phoneticPr fontId="11" type="noConversion"/>
  </si>
  <si>
    <t>1</t>
    <phoneticPr fontId="11" type="noConversion"/>
  </si>
  <si>
    <t>04.05.2019</t>
    <phoneticPr fontId="104" type="noConversion"/>
  </si>
  <si>
    <t>Testing of Casual Hours on PH &amp; Weekend
1. EE 91999906 casual hours on PH and weekend.
2. EE 9199907's DP become 18 yr old.
3. EE 91999914 changed to Permanent.</t>
    <phoneticPr fontId="104" type="noConversion"/>
  </si>
  <si>
    <t>1. Testing of OT for Annual Maxium OT Hours &amp; IT14 input for Absence Rate testing
2. EE 91999914 changed back to Casual.</t>
    <phoneticPr fontId="104" type="noConversion"/>
  </si>
  <si>
    <t>3000 Leave without Pay</t>
    <phoneticPr fontId="104" type="noConversion"/>
  </si>
  <si>
    <t>2001</t>
    <phoneticPr fontId="104" type="noConversion"/>
  </si>
  <si>
    <t>10.12.2019</t>
    <phoneticPr fontId="11" type="noConversion"/>
  </si>
  <si>
    <t>24.12.2019</t>
    <phoneticPr fontId="11" type="noConversion"/>
  </si>
  <si>
    <t>03.12.2019</t>
    <phoneticPr fontId="104" type="noConversion"/>
  </si>
  <si>
    <t>17.12.2019</t>
    <phoneticPr fontId="11" type="noConversion"/>
  </si>
  <si>
    <t>*YTD Taxable Income</t>
    <phoneticPr fontId="104" type="noConversion"/>
  </si>
  <si>
    <t>1. UAT12 EE91999904 retro termination case added.
2. UAT13 EE91999901 retro salary increase for WT3113.
3. UAT9 EE91999902 LWOP case for WT5V03
4. UAT4 EE91999904 retro ER taxed WT input.
5. UAT5 EE91999914 changed from Casual to Permanent.
6. UAT8 EE91999914 changed back to Casual.
7. UAT13 EE91999912 retro LWOP for previous tax year.</t>
    <phoneticPr fontId="11" type="noConversion"/>
  </si>
  <si>
    <t>Last Working Day</t>
    <phoneticPr fontId="104" type="noConversion"/>
  </si>
  <si>
    <t>1. UAT13 EE91999909 termination in Jan'20 for current year WT3113 payout,</t>
    <phoneticPr fontId="11" type="noConversion"/>
  </si>
  <si>
    <t>Testing of 13th Month Salary &amp; Quota Generation &amp; YE &amp; New Exchange Rate
1. WT9131 generation
2. EE 91999901 &amp; 91999909 &amp;91999910 &amp; 91999911 WT3113 generation.
3. EE 91999905 overused AL balance was deducted from new AL quota.
4. YE for Y2019 simulation.
5. EE 91999903 rehire case for YE calculation.
6. EE 91999901 retro salary increase for WT3113 testing.
7. EE 91999912 retro LWOP for previous year.
8. EE 91999909 terminated in Jan'20 for WT3113 of current year testing.</t>
    <phoneticPr fontId="104" type="noConversion"/>
  </si>
  <si>
    <t>1.0</t>
    <phoneticPr fontId="11" type="noConversion"/>
  </si>
  <si>
    <t>3100 Driving allowance</t>
    <phoneticPr fontId="11" type="noConversion"/>
  </si>
  <si>
    <t>1. All - Foreigner EE's Insurance Salary formula updated.
2. All - WT7060 moved to ER contribution.
3. All - WT5V02, WT5V04, WT5V06 &amp; WT5V07 moved to net deduction item from taxable income.
4. UAT1, 2 - WT3100 marked as SI Base.
5. All - FTE% in IT0007 updated to 100% and LSL accrual removed for Casual Hours EEs.
6. All - Capping of CSI &amp; HI updated.
7. UAT13 - Taxable Income for ER Tax gross up removed from YTD taxable income.</t>
    <phoneticPr fontId="11" type="noConversion"/>
  </si>
  <si>
    <t>FA-HR</t>
    <phoneticPr fontId="11" type="noConversion"/>
  </si>
  <si>
    <t>PSV1</t>
    <phoneticPr fontId="11" type="noConversion"/>
  </si>
  <si>
    <t>2300</t>
    <phoneticPr fontId="11" type="noConversion"/>
  </si>
  <si>
    <t>/491 EE Personal Tax Exemption</t>
    <phoneticPr fontId="11" type="noConversion"/>
  </si>
  <si>
    <t>/492 Dependant Tax Exemption</t>
    <phoneticPr fontId="11" type="noConversion"/>
  </si>
  <si>
    <t>/031 6 Mth Aver Salary</t>
    <phoneticPr fontId="11" type="noConversion"/>
  </si>
  <si>
    <t>04</t>
    <phoneticPr fontId="11" type="noConversion"/>
  </si>
  <si>
    <t>01.01.2019</t>
    <phoneticPr fontId="11" type="noConversion"/>
  </si>
  <si>
    <t>VN001001</t>
    <phoneticPr fontId="11" type="noConversion"/>
  </si>
  <si>
    <t>P5360000</t>
    <phoneticPr fontId="104" type="noConversion"/>
  </si>
  <si>
    <t>C0000000</t>
  </si>
  <si>
    <t>;L</t>
    <phoneticPr fontId="11" type="noConversion"/>
  </si>
  <si>
    <t>/430 Taxable Before Exemptions</t>
    <phoneticPr fontId="11" type="noConversion"/>
  </si>
  <si>
    <t>/106 Taxable Income</t>
    <phoneticPr fontId="11" type="noConversion"/>
  </si>
  <si>
    <t>/179 Contract Salary</t>
    <phoneticPr fontId="11" type="noConversion"/>
  </si>
  <si>
    <t>Foreigner Contract Salary</t>
    <phoneticPr fontId="11" type="noConversion"/>
  </si>
  <si>
    <t>Fix Exchange Rate</t>
  </si>
  <si>
    <t>Testing of new Hires, proration, infotypes 008 &amp; 14 &amp; AL/SL quota generation
1. EE 91999903 start date early in the month proration.
2. EE 91999908 start date mid of the month proration &amp; SI contribution.
3. EE 91999907 foreigner EE has two DPs and one of them is under 18 yr old. And foreigner EE's insurance salary is coverted by Fix Exchange Rate.
4. EE 91999911 EE's insurance salary is capped as 20 times of minimum salary (83,600,000 VND).
5. EE 91999902 EE's LSL quota balance  for schema 1 is loaded by IT2006.
6. EE 91999905 time flag IT2012 for LSL schema 1.
7. EE 91999903 with DT VZ on 07.06.2019 and quota generation is based on year end.</t>
  </si>
  <si>
    <t>Testing of Absences &amp; LSL
1. EE 91999907 &amp; 91999910 1st 5 year service reached and WT2375 calculated based on IT2012 input.
2. EE 91999901 Fix 5 year reached and WT2376 calculated based on IT2012 input.
3. EE 91999903 &amp; 91999907 on maternity leave for vPay.
4. EE 91999902 &amp; 91999910 &amp; 91999911 for Parntl/Prentl/Miscar vPay.
5. EE 91999910 &amp; 91999912 &amp; 91999913's AL &amp; SL quota influenced by LWOP. 13th month salary influenced by LWOP. LSL quota accrual impacted.
6. EE 91999903 &amp; 91999907 YOS for SP from maternity leave.
7. EE 91999902 LWOP for WT5V03.</t>
  </si>
  <si>
    <t>Fix Gross Up</t>
  </si>
  <si>
    <t>B3</t>
    <phoneticPr fontId="11" type="noConversion"/>
  </si>
  <si>
    <t>VB-HR</t>
  </si>
  <si>
    <t>09.01.2019</t>
    <phoneticPr fontId="11" type="noConversion"/>
  </si>
  <si>
    <t>1. WT5V05 DI Target Amount deleted for all local staff.
2. WT1100 Higher Duties Allowance &amp; WT1102 Managerial Allowance have been added into EE's SP base for foreigner Ees.
3. Fix exchange rate for SI has been changed to 23,500.
4. WT1001 for foreigner EE has been updated.
5. EE91999902 &amp; EE91999909 's FTE% changed to 50%. 
6. WT5V01 removed from WT/106 Taxable Income.
7. Changed EE91999913 &amp; EE91999914's Payscale Type to Local since they are local staff.
8. Updated Rates 001 - 004 according to lastest BP.
9. WT9150 added as IT0014 input for EE91999902, EE9199907 &amp; EE91999913.</t>
    <phoneticPr fontId="11" type="noConversion"/>
  </si>
  <si>
    <t>9113 13th Salary Accrual</t>
    <phoneticPr fontId="11" type="noConversion"/>
  </si>
  <si>
    <t>YOS for SP</t>
    <phoneticPr fontId="104" type="noConversion"/>
  </si>
  <si>
    <t>Configurer</t>
    <phoneticPr fontId="104" type="noConversion"/>
  </si>
  <si>
    <t>The YOS for SP should be calculated until 2009.01.01</t>
    <phoneticPr fontId="104" type="noConversion"/>
  </si>
  <si>
    <t>N/A</t>
    <phoneticPr fontId="104" type="noConversion"/>
  </si>
  <si>
    <t>WT9113 13th month salary accrual</t>
    <phoneticPr fontId="104" type="noConversion"/>
  </si>
  <si>
    <t>The WT9113 was not generated</t>
    <phoneticPr fontId="104" type="noConversion"/>
  </si>
  <si>
    <t>‘</t>
    <phoneticPr fontId="11" type="noConversion"/>
  </si>
  <si>
    <t>0015</t>
    <phoneticPr fontId="11" type="noConversion"/>
  </si>
  <si>
    <t>01.01.2019</t>
    <phoneticPr fontId="11" type="noConversion"/>
  </si>
  <si>
    <t>Days</t>
    <phoneticPr fontId="11" type="noConversion"/>
  </si>
  <si>
    <t>*/171 Insurance Salary</t>
    <phoneticPr fontId="11" type="noConversion"/>
  </si>
  <si>
    <t>*/179 Contract Salary</t>
    <phoneticPr fontId="11" type="noConversion"/>
  </si>
  <si>
    <t>*7060 Trade Union</t>
    <phoneticPr fontId="11" type="noConversion"/>
  </si>
  <si>
    <t>*/031 6 Mth Aver Salary</t>
    <phoneticPr fontId="11" type="noConversion"/>
  </si>
  <si>
    <t>1. WT5V04 formula updated according to BPCW v1.5.
2. WT9200 &amp; WT9201&amp; WT9220 input for SP YOS calculation.
3. Changed flat rate tax base to WT/430.
4. WT/179 accumulation formula updated.
5. WT9113 formula changed according to BPCW v1.5.
6. WT/031 will be equal to WT/171 in EE's first payroll cycle in system.
7. Removed Quota 71 input in UAT1.
8. WT9140 rate changed to 0.076 for EE91999901.</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</si>
</sst>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5">
    <numFmt numFmtId="176" formatCode="_-* #,##0_-;\-* #,##0_-;_-* &quot;-&quot;_-;_-@_-"/>
    <numFmt numFmtId="177" formatCode="_-* #,##0.00_-;\-* #,##0.00_-;_-* &quot;-&quot;??_-;_-@_-"/>
    <numFmt numFmtId="178" formatCode="_(&quot;$&quot;* #,##0.00_);_(&quot;$&quot;* \(#,##0.00\);_(&quot;$&quot;* &quot;-&quot;??_);_(@_)"/>
    <numFmt numFmtId="179" formatCode="_(* #,##0.00_);_(* \(#,##0.00\);_(* &quot;-&quot;??_);_(@_)"/>
    <numFmt numFmtId="180" formatCode="dd\.mm\.yyyy;@"/>
    <numFmt numFmtId="181" formatCode="00"/>
    <numFmt numFmtId="182" formatCode="_-[$€]* #,##0.00_-;\-[$€]* #,##0.00_-;_-[$€]* &quot;-&quot;??_-;_-@_-"/>
    <numFmt numFmtId="183" formatCode="yyyy/mm/dd"/>
    <numFmt numFmtId="184" formatCode="_(* #,##0_);_(* \(#,##0\);_(* &quot;-&quot;??_);_(@_)"/>
    <numFmt numFmtId="185" formatCode="dd/mmm/yyyy"/>
    <numFmt numFmtId="186" formatCode="\$#,##0\ ;\(\$#,##0\)"/>
    <numFmt numFmtId="187" formatCode="0.00_)"/>
    <numFmt numFmtId="188" formatCode="&quot;\&quot;#,##0.00;[Red]\-&quot;\&quot;#,##0.00"/>
    <numFmt numFmtId="189" formatCode="&quot;\&quot;#,##0.00;[Red]&quot;\&quot;\-#,##0.00"/>
    <numFmt numFmtId="190" formatCode="&quot;\&quot;#,##0;[Red]&quot;\&quot;\-#,##0"/>
    <numFmt numFmtId="191" formatCode="_-&quot;ñ&quot;* #,##0_-;\-&quot;ñ&quot;* #,##0_-;_-&quot;ñ&quot;* &quot;-&quot;_-;_-@_-"/>
    <numFmt numFmtId="192" formatCode="_-&quot;ñ&quot;* #,##0.00_-;\-&quot;ñ&quot;* #,##0.00_-;_-&quot;ñ&quot;* &quot;-&quot;??_-;_-@_-"/>
    <numFmt numFmtId="193" formatCode="h:mm;@"/>
    <numFmt numFmtId="194" formatCode="dd\.mm\.yyyy"/>
    <numFmt numFmtId="195" formatCode="0.00000"/>
    <numFmt numFmtId="196" formatCode="#,##0.0"/>
    <numFmt numFmtId="197" formatCode="dd\-mmm\-yy\(ddd\)"/>
    <numFmt numFmtId="198" formatCode="0.00_ "/>
    <numFmt numFmtId="199" formatCode="#,##0.0000000"/>
    <numFmt numFmtId="200" formatCode="#,##0.000"/>
  </numFmts>
  <fonts count="107">
    <font>
      <sz val="10"/>
      <name val="Arial"/>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0"/>
      <name val="Arial"/>
      <family val="2"/>
    </font>
    <font>
      <sz val="14"/>
      <name val="Arial Narrow"/>
      <family val="2"/>
    </font>
    <font>
      <sz val="10"/>
      <name val="Arial"/>
      <family val="2"/>
    </font>
    <font>
      <sz val="10"/>
      <name val="Arial Narrow"/>
      <family val="2"/>
    </font>
    <font>
      <b/>
      <sz val="10"/>
      <name val="Arial Narrow"/>
      <family val="2"/>
    </font>
    <font>
      <sz val="8"/>
      <name val="Arial"/>
      <family val="2"/>
    </font>
    <font>
      <sz val="10"/>
      <name val="MS Sans Serif"/>
      <family val="2"/>
    </font>
    <font>
      <b/>
      <u/>
      <sz val="10"/>
      <name val="Arial Narrow"/>
      <family val="2"/>
    </font>
    <font>
      <b/>
      <u/>
      <sz val="12"/>
      <color indexed="48"/>
      <name val="Arial Narrow"/>
      <family val="2"/>
    </font>
    <font>
      <b/>
      <sz val="10"/>
      <color indexed="17"/>
      <name val="Arial Narrow"/>
      <family val="2"/>
    </font>
    <font>
      <b/>
      <u/>
      <sz val="14"/>
      <name val="Arial Narrow"/>
      <family val="2"/>
    </font>
    <font>
      <sz val="10"/>
      <color indexed="9"/>
      <name val="Times New Roman"/>
      <family val="1"/>
    </font>
    <font>
      <sz val="10"/>
      <name val="Times New Roman"/>
      <family val="1"/>
    </font>
    <font>
      <b/>
      <u/>
      <sz val="16"/>
      <name val="Arial Narrow"/>
      <family val="2"/>
    </font>
    <font>
      <b/>
      <sz val="8"/>
      <color indexed="81"/>
      <name val="Tahoma"/>
      <family val="2"/>
    </font>
    <font>
      <sz val="8"/>
      <color indexed="81"/>
      <name val="Tahoma"/>
      <family val="2"/>
    </font>
    <font>
      <sz val="10"/>
      <color indexed="18"/>
      <name val="Arial Narrow"/>
      <family val="2"/>
    </font>
    <font>
      <b/>
      <u/>
      <sz val="10"/>
      <color indexed="48"/>
      <name val="Arial Narrow"/>
      <family val="2"/>
    </font>
    <font>
      <b/>
      <u/>
      <sz val="10"/>
      <color indexed="10"/>
      <name val="Arial Narrow"/>
      <family val="2"/>
    </font>
    <font>
      <b/>
      <u/>
      <sz val="12"/>
      <color indexed="17"/>
      <name val="Arial Narrow"/>
      <family val="2"/>
    </font>
    <font>
      <sz val="10"/>
      <color indexed="17"/>
      <name val="Arial Narrow"/>
      <family val="2"/>
    </font>
    <font>
      <sz val="12"/>
      <color indexed="48"/>
      <name val="Arial Narrow"/>
      <family val="2"/>
    </font>
    <font>
      <sz val="12"/>
      <color indexed="57"/>
      <name val="Arial Narrow"/>
      <family val="2"/>
    </font>
    <font>
      <b/>
      <sz val="12"/>
      <name val="Arial Narrow"/>
      <family val="2"/>
    </font>
    <font>
      <b/>
      <sz val="12"/>
      <color indexed="57"/>
      <name val="Arial Narrow"/>
      <family val="2"/>
    </font>
    <font>
      <sz val="12"/>
      <name val="Times New Roman"/>
      <family val="1"/>
    </font>
    <font>
      <b/>
      <sz val="10"/>
      <color indexed="57"/>
      <name val="Arial Narrow"/>
      <family val="2"/>
    </font>
    <font>
      <b/>
      <sz val="9"/>
      <color indexed="81"/>
      <name val="Tahoma"/>
      <family val="2"/>
    </font>
    <font>
      <sz val="9"/>
      <color indexed="81"/>
      <name val="Tahoma"/>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sz val="10"/>
      <color indexed="8"/>
      <name val="Arial"/>
      <family val="2"/>
    </font>
    <font>
      <sz val="12"/>
      <name val="¹UAAA¼"/>
      <family val="3"/>
    </font>
    <font>
      <sz val="10"/>
      <name val="VNI-Times"/>
    </font>
    <font>
      <b/>
      <sz val="12"/>
      <name val="Arial"/>
      <family val="2"/>
    </font>
    <font>
      <b/>
      <i/>
      <sz val="16"/>
      <name val="Helv"/>
    </font>
    <font>
      <sz val="10"/>
      <name val="Arial Unicode MS"/>
      <family val="2"/>
    </font>
    <font>
      <sz val="12"/>
      <name val=".VnArial"/>
      <family val="2"/>
    </font>
    <font>
      <sz val="14"/>
      <name val="뼻뮝"/>
      <family val="3"/>
      <charset val="129"/>
    </font>
    <font>
      <sz val="12"/>
      <name val="바탕체"/>
      <family val="3"/>
    </font>
    <font>
      <sz val="12"/>
      <name val="뼻뮝"/>
      <family val="1"/>
      <charset val="129"/>
    </font>
    <font>
      <sz val="12"/>
      <name val=".VnTime"/>
      <family val="2"/>
    </font>
    <font>
      <sz val="12"/>
      <name val="바탕체"/>
      <family val="3"/>
      <charset val="129"/>
    </font>
    <font>
      <sz val="10"/>
      <name val="굴림체"/>
      <family val="3"/>
      <charset val="129"/>
    </font>
    <font>
      <sz val="12"/>
      <name val="新細明體"/>
      <family val="2"/>
    </font>
    <font>
      <sz val="11"/>
      <name val="ＭＳ Ｐゴシック"/>
      <family val="2"/>
      <charset val="128"/>
    </font>
    <font>
      <b/>
      <sz val="10"/>
      <name val="MS Sans Serif"/>
      <family val="2"/>
    </font>
    <font>
      <sz val="12"/>
      <name val="Arial"/>
      <family val="2"/>
    </font>
    <font>
      <sz val="10"/>
      <name val="Arial Unicode MS"/>
      <family val="2"/>
      <charset val="136"/>
    </font>
    <font>
      <u/>
      <sz val="11"/>
      <color indexed="12"/>
      <name val="Calibri"/>
      <family val="2"/>
    </font>
    <font>
      <sz val="10"/>
      <color indexed="8"/>
      <name val="MS Sans Serif"/>
      <family val="2"/>
    </font>
    <font>
      <sz val="12"/>
      <name val="宋体"/>
      <family val="3"/>
      <charset val="134"/>
    </font>
    <font>
      <sz val="10"/>
      <name val="VNI-Times"/>
      <family val="2"/>
    </font>
    <font>
      <b/>
      <i/>
      <sz val="16"/>
      <name val="Helv"/>
      <family val="2"/>
    </font>
    <font>
      <b/>
      <sz val="18"/>
      <color indexed="56"/>
      <name val="Cambria"/>
      <family val="1"/>
    </font>
    <font>
      <sz val="11"/>
      <color theme="1"/>
      <name val="宋体"/>
      <family val="2"/>
      <scheme val="minor"/>
    </font>
    <font>
      <sz val="10"/>
      <color rgb="FFFF0000"/>
      <name val="Arial Narrow"/>
      <family val="2"/>
    </font>
    <font>
      <b/>
      <u/>
      <sz val="12"/>
      <color rgb="FF3366FF"/>
      <name val="Arial Narrow"/>
      <family val="2"/>
    </font>
    <font>
      <b/>
      <sz val="10"/>
      <color rgb="FF3366FF"/>
      <name val="Arial Narrow"/>
      <family val="2"/>
    </font>
    <font>
      <sz val="11"/>
      <color theme="1"/>
      <name val="宋体"/>
      <family val="1"/>
      <charset val="136"/>
      <scheme val="minor"/>
    </font>
    <font>
      <b/>
      <sz val="34"/>
      <name val="Arial"/>
      <family val="2"/>
    </font>
    <font>
      <b/>
      <sz val="10"/>
      <name val="Arial"/>
      <family val="2"/>
    </font>
    <font>
      <sz val="10"/>
      <color rgb="FF64BEEB"/>
      <name val="Arial"/>
      <family val="2"/>
    </font>
    <font>
      <b/>
      <sz val="14"/>
      <name val="Arial"/>
      <family val="2"/>
    </font>
    <font>
      <b/>
      <sz val="24"/>
      <name val="Arial"/>
      <family val="2"/>
    </font>
    <font>
      <sz val="10"/>
      <color theme="1"/>
      <name val="Arial"/>
      <family val="2"/>
    </font>
    <font>
      <sz val="8"/>
      <color theme="1"/>
      <name val="Arial"/>
      <family val="2"/>
    </font>
    <font>
      <vertAlign val="superscript"/>
      <sz val="8"/>
      <color theme="1"/>
      <name val="Arial"/>
      <family val="2"/>
    </font>
    <font>
      <b/>
      <sz val="8"/>
      <color theme="1"/>
      <name val="Arial"/>
      <family val="2"/>
    </font>
    <font>
      <b/>
      <sz val="12"/>
      <color theme="1"/>
      <name val="Arial"/>
      <family val="2"/>
    </font>
    <font>
      <sz val="10"/>
      <color theme="1"/>
      <name val="Arial Narrow"/>
      <family val="2"/>
    </font>
    <font>
      <b/>
      <sz val="24"/>
      <color theme="1"/>
      <name val="Arial"/>
      <family val="2"/>
    </font>
    <font>
      <b/>
      <sz val="10"/>
      <color theme="1"/>
      <name val="Arial Narrow"/>
      <family val="2"/>
    </font>
    <font>
      <b/>
      <sz val="11"/>
      <color theme="1"/>
      <name val="Arial Narrow"/>
      <family val="2"/>
    </font>
    <font>
      <sz val="11"/>
      <color theme="1"/>
      <name val="Arial Narrow"/>
      <family val="2"/>
    </font>
    <font>
      <sz val="12"/>
      <color theme="1"/>
      <name val="Arial"/>
      <family val="2"/>
    </font>
    <font>
      <b/>
      <sz val="10"/>
      <color rgb="FF0070C0"/>
      <name val="Arial Narrow"/>
      <family val="2"/>
    </font>
    <font>
      <sz val="10"/>
      <color rgb="FF00B050"/>
      <name val="Arial Narrow"/>
      <family val="2"/>
    </font>
    <font>
      <sz val="10"/>
      <color rgb="FF0070C0"/>
      <name val="Arial"/>
      <family val="2"/>
    </font>
    <font>
      <b/>
      <sz val="10"/>
      <color rgb="FF000000"/>
      <name val="Arial Narrow"/>
      <family val="2"/>
    </font>
    <font>
      <sz val="10"/>
      <color rgb="FF000000"/>
      <name val="Arial Narrow"/>
      <family val="2"/>
    </font>
    <font>
      <i/>
      <sz val="10"/>
      <color rgb="FF000000"/>
      <name val="Arial Narrow"/>
      <family val="2"/>
    </font>
    <font>
      <u/>
      <sz val="10"/>
      <color theme="1"/>
      <name val="Arial Narrow"/>
      <family val="2"/>
    </font>
    <font>
      <sz val="10"/>
      <color rgb="FF92D050"/>
      <name val="Arial Narrow"/>
      <family val="2"/>
    </font>
    <font>
      <sz val="9"/>
      <name val="宋体"/>
      <family val="3"/>
      <charset val="134"/>
    </font>
    <font>
      <sz val="10"/>
      <name val="Arial"/>
      <family val="2"/>
    </font>
    <font>
      <b/>
      <sz val="18"/>
      <name val="Arial Narrow"/>
      <family val="2"/>
    </font>
  </fonts>
  <fills count="4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mediumGray">
        <fgColor indexed="22"/>
      </patternFill>
    </fill>
    <fill>
      <patternFill patternType="lightUp"/>
    </fill>
    <fill>
      <patternFill patternType="solid">
        <fgColor indexed="42"/>
        <bgColor indexed="64"/>
      </patternFill>
    </fill>
    <fill>
      <patternFill patternType="solid">
        <fgColor rgb="FF64BEEB"/>
        <bgColor indexed="64"/>
      </patternFill>
    </fill>
    <fill>
      <patternFill patternType="solid">
        <fgColor rgb="FF64BFEC"/>
        <bgColor indexed="64"/>
      </patternFill>
    </fill>
    <fill>
      <patternFill patternType="solid">
        <fgColor rgb="FF63BFED"/>
        <bgColor indexed="64"/>
      </patternFill>
    </fill>
    <fill>
      <patternFill patternType="solid">
        <fgColor rgb="FF66C1EA"/>
        <bgColor indexed="64"/>
      </patternFill>
    </fill>
    <fill>
      <patternFill patternType="solid">
        <fgColor theme="8" tint="0.59999389629810485"/>
        <bgColor indexed="64"/>
      </patternFill>
    </fill>
    <fill>
      <patternFill patternType="solid">
        <fgColor theme="0" tint="-0.14996795556505021"/>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00"/>
        <bgColor indexed="64"/>
      </patternFill>
    </fill>
    <fill>
      <patternFill patternType="solid">
        <fgColor rgb="FF65BEEB"/>
        <bgColor indexed="64"/>
      </patternFill>
    </fill>
    <fill>
      <patternFill patternType="solid">
        <fgColor rgb="FFFFFFFF"/>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rgb="FF92D050"/>
        <bgColor indexed="64"/>
      </patternFill>
    </fill>
    <fill>
      <patternFill patternType="lightUp">
        <bgColor rgb="FF92D050"/>
      </patternFill>
    </fill>
    <fill>
      <patternFill patternType="solid">
        <fgColor rgb="FF00B050"/>
        <bgColor indexed="64"/>
      </patternFill>
    </fill>
  </fills>
  <borders count="5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style="thin">
        <color indexed="64"/>
      </top>
      <bottom style="double">
        <color indexed="64"/>
      </bottom>
      <diagonal/>
    </border>
    <border>
      <left/>
      <right style="thin">
        <color indexed="64"/>
      </right>
      <top/>
      <bottom/>
      <diagonal/>
    </border>
    <border>
      <left style="thin">
        <color indexed="64"/>
      </left>
      <right/>
      <top/>
      <bottom/>
      <diagonal/>
    </border>
    <border>
      <left/>
      <right/>
      <top/>
      <bottom style="thin">
        <color indexed="64"/>
      </bottom>
      <diagonal/>
    </border>
    <border>
      <left style="thin">
        <color indexed="64"/>
      </left>
      <right/>
      <top style="thin">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ck">
        <color theme="4" tint="0.499984740745262"/>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auto="1"/>
      </left>
      <right style="thin">
        <color auto="1"/>
      </right>
      <top style="thin">
        <color auto="1"/>
      </top>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rgb="FFB1BBCC"/>
      </left>
      <right style="thin">
        <color rgb="FFB1BBCC"/>
      </right>
      <top style="thin">
        <color rgb="FFB1BBCC"/>
      </top>
      <bottom style="thin">
        <color rgb="FFB1BBCC"/>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rgb="FFB1BBCC"/>
      </left>
      <right style="thin">
        <color rgb="FFB1BBCC"/>
      </right>
      <top/>
      <bottom style="thin">
        <color rgb="FFB1BBCC"/>
      </bottom>
      <diagonal/>
    </border>
    <border>
      <left style="thin">
        <color auto="1"/>
      </left>
      <right style="thin">
        <color auto="1"/>
      </right>
      <top style="thin">
        <color auto="1"/>
      </top>
      <bottom style="thin">
        <color auto="1"/>
      </bottom>
      <diagonal/>
    </border>
    <border>
      <left/>
      <right style="thin">
        <color indexed="64"/>
      </right>
      <top style="thin">
        <color indexed="64"/>
      </top>
      <bottom style="double">
        <color indexed="64"/>
      </bottom>
      <diagonal/>
    </border>
    <border>
      <left/>
      <right/>
      <top style="thin">
        <color auto="1"/>
      </top>
      <bottom style="thin">
        <color auto="1"/>
      </bottom>
      <diagonal/>
    </border>
    <border>
      <left/>
      <right style="thin">
        <color indexed="64"/>
      </right>
      <top style="thin">
        <color auto="1"/>
      </top>
      <bottom style="thin">
        <color auto="1"/>
      </bottom>
      <diagonal/>
    </border>
    <border>
      <left/>
      <right style="thin">
        <color indexed="64"/>
      </right>
      <top style="thin">
        <color auto="1"/>
      </top>
      <bottom style="thin">
        <color auto="1"/>
      </bottom>
      <diagonal/>
    </border>
    <border>
      <left/>
      <right style="thin">
        <color indexed="64"/>
      </right>
      <top style="thin">
        <color indexed="64"/>
      </top>
      <bottom/>
      <diagonal/>
    </border>
    <border>
      <left/>
      <right style="thin">
        <color indexed="64"/>
      </right>
      <top style="thin">
        <color auto="1"/>
      </top>
      <bottom style="thin">
        <color auto="1"/>
      </bottom>
      <diagonal/>
    </border>
    <border>
      <left/>
      <right style="thin">
        <color indexed="64"/>
      </right>
      <top style="thin">
        <color auto="1"/>
      </top>
      <bottom style="thin">
        <color auto="1"/>
      </bottom>
      <diagonal/>
    </border>
    <border>
      <left style="medium">
        <color indexed="64"/>
      </left>
      <right/>
      <top/>
      <bottom style="medium">
        <color indexed="64"/>
      </bottom>
      <diagonal/>
    </border>
    <border>
      <left/>
      <right style="medium">
        <color indexed="64"/>
      </right>
      <top/>
      <bottom style="medium">
        <color indexed="64"/>
      </bottom>
      <diagonal/>
    </border>
  </borders>
  <cellStyleXfs count="12063">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12" fillId="0" borderId="0"/>
    <xf numFmtId="0" fontId="8" fillId="0" borderId="0"/>
    <xf numFmtId="0" fontId="8" fillId="0" borderId="0"/>
    <xf numFmtId="0" fontId="35" fillId="2" borderId="0" applyNumberFormat="0" applyBorder="0" applyAlignment="0" applyProtection="0"/>
    <xf numFmtId="0" fontId="35" fillId="3" borderId="0" applyNumberFormat="0" applyBorder="0" applyAlignment="0" applyProtection="0"/>
    <xf numFmtId="0" fontId="35" fillId="4" borderId="0" applyNumberFormat="0" applyBorder="0" applyAlignment="0" applyProtection="0"/>
    <xf numFmtId="0" fontId="35" fillId="5" borderId="0" applyNumberFormat="0" applyBorder="0" applyAlignment="0" applyProtection="0"/>
    <xf numFmtId="0" fontId="35" fillId="6" borderId="0" applyNumberFormat="0" applyBorder="0" applyAlignment="0" applyProtection="0"/>
    <xf numFmtId="0" fontId="35" fillId="7" borderId="0" applyNumberFormat="0" applyBorder="0" applyAlignment="0" applyProtection="0"/>
    <xf numFmtId="0" fontId="8" fillId="0" borderId="0"/>
    <xf numFmtId="0" fontId="8" fillId="0" borderId="0"/>
    <xf numFmtId="0" fontId="8" fillId="0" borderId="0"/>
    <xf numFmtId="0" fontId="8" fillId="0" borderId="0"/>
    <xf numFmtId="0" fontId="8" fillId="0" borderId="0"/>
    <xf numFmtId="0" fontId="35" fillId="8" borderId="0" applyNumberFormat="0" applyBorder="0" applyAlignment="0" applyProtection="0"/>
    <xf numFmtId="0" fontId="35" fillId="9" borderId="0" applyNumberFormat="0" applyBorder="0" applyAlignment="0" applyProtection="0"/>
    <xf numFmtId="0" fontId="35" fillId="10" borderId="0" applyNumberFormat="0" applyBorder="0" applyAlignment="0" applyProtection="0"/>
    <xf numFmtId="0" fontId="35" fillId="5" borderId="0" applyNumberFormat="0" applyBorder="0" applyAlignment="0" applyProtection="0"/>
    <xf numFmtId="0" fontId="35" fillId="8" borderId="0" applyNumberFormat="0" applyBorder="0" applyAlignment="0" applyProtection="0"/>
    <xf numFmtId="0" fontId="35" fillId="11" borderId="0" applyNumberFormat="0" applyBorder="0" applyAlignment="0" applyProtection="0"/>
    <xf numFmtId="0" fontId="36" fillId="12"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3"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7" borderId="0" applyNumberFormat="0" applyBorder="0" applyAlignment="0" applyProtection="0"/>
    <xf numFmtId="0" fontId="36" fillId="18" borderId="0" applyNumberFormat="0" applyBorder="0" applyAlignment="0" applyProtection="0"/>
    <xf numFmtId="0" fontId="36" fillId="13" borderId="0" applyNumberFormat="0" applyBorder="0" applyAlignment="0" applyProtection="0"/>
    <xf numFmtId="0" fontId="36" fillId="14" borderId="0" applyNumberFormat="0" applyBorder="0" applyAlignment="0" applyProtection="0"/>
    <xf numFmtId="0" fontId="36" fillId="19" borderId="0" applyNumberFormat="0" applyBorder="0" applyAlignment="0" applyProtection="0"/>
    <xf numFmtId="0" fontId="52" fillId="0" borderId="0" applyFont="0" applyFill="0" applyBorder="0" applyAlignment="0" applyProtection="0"/>
    <xf numFmtId="0" fontId="52" fillId="0" borderId="0" applyFont="0" applyFill="0" applyBorder="0" applyAlignment="0" applyProtection="0"/>
    <xf numFmtId="0" fontId="52" fillId="0" borderId="0" applyFont="0" applyFill="0" applyBorder="0" applyAlignment="0" applyProtection="0"/>
    <xf numFmtId="0" fontId="52" fillId="0" borderId="0" applyFont="0" applyFill="0" applyBorder="0" applyAlignment="0" applyProtection="0"/>
    <xf numFmtId="0" fontId="37" fillId="3" borderId="0" applyNumberFormat="0" applyBorder="0" applyAlignment="0" applyProtection="0"/>
    <xf numFmtId="0" fontId="52" fillId="0" borderId="0"/>
    <xf numFmtId="0" fontId="52" fillId="0" borderId="0"/>
    <xf numFmtId="0" fontId="38" fillId="20" borderId="1" applyNumberFormat="0" applyAlignment="0" applyProtection="0"/>
    <xf numFmtId="0" fontId="39" fillId="21" borderId="2" applyNumberFormat="0" applyAlignment="0" applyProtection="0"/>
    <xf numFmtId="179" fontId="8" fillId="0" borderId="0" applyFont="0" applyFill="0" applyBorder="0" applyAlignment="0" applyProtection="0"/>
    <xf numFmtId="179" fontId="67" fillId="0" borderId="0" applyFont="0" applyFill="0" applyBorder="0" applyAlignment="0" applyProtection="0"/>
    <xf numFmtId="179" fontId="67" fillId="0" borderId="0" applyFont="0" applyFill="0" applyBorder="0" applyAlignment="0" applyProtection="0"/>
    <xf numFmtId="177" fontId="8" fillId="0" borderId="0" applyFont="0" applyFill="0" applyBorder="0" applyAlignment="0" applyProtection="0"/>
    <xf numFmtId="184"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179" fontId="67"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184" fontId="8" fillId="0" borderId="0" applyFont="0" applyFill="0" applyBorder="0" applyAlignment="0" applyProtection="0"/>
    <xf numFmtId="185" fontId="8" fillId="0" borderId="0" applyFont="0" applyFill="0" applyBorder="0" applyAlignment="0" applyProtection="0"/>
    <xf numFmtId="179" fontId="75" fillId="0" borderId="0" applyFont="0" applyFill="0" applyBorder="0" applyAlignment="0" applyProtection="0"/>
    <xf numFmtId="185" fontId="8" fillId="0" borderId="0" applyFont="0" applyFill="0" applyBorder="0" applyAlignment="0" applyProtection="0"/>
    <xf numFmtId="179" fontId="67" fillId="0" borderId="0" applyFont="0" applyFill="0" applyBorder="0" applyAlignment="0" applyProtection="0"/>
    <xf numFmtId="184" fontId="8" fillId="0" borderId="0" applyFont="0" applyFill="0" applyBorder="0" applyAlignment="0" applyProtection="0"/>
    <xf numFmtId="184" fontId="8" fillId="0" borderId="0" applyFont="0" applyFill="0" applyBorder="0" applyAlignment="0" applyProtection="0"/>
    <xf numFmtId="179" fontId="67" fillId="0" borderId="0" applyFont="0" applyFill="0" applyBorder="0" applyAlignment="0" applyProtection="0"/>
    <xf numFmtId="179" fontId="51" fillId="0" borderId="0" applyFont="0" applyFill="0" applyBorder="0" applyAlignment="0" applyProtection="0">
      <alignment vertical="top"/>
    </xf>
    <xf numFmtId="179" fontId="51" fillId="0" borderId="0" applyFont="0" applyFill="0" applyBorder="0" applyAlignment="0" applyProtection="0">
      <alignment vertical="top"/>
    </xf>
    <xf numFmtId="179" fontId="35" fillId="0" borderId="0" applyFont="0" applyFill="0" applyBorder="0" applyAlignment="0" applyProtection="0"/>
    <xf numFmtId="179" fontId="67" fillId="0" borderId="0" applyFont="0" applyFill="0" applyBorder="0" applyAlignment="0" applyProtection="0"/>
    <xf numFmtId="179" fontId="75" fillId="0" borderId="0" applyFont="0" applyFill="0" applyBorder="0" applyAlignment="0" applyProtection="0"/>
    <xf numFmtId="179" fontId="79" fillId="0" borderId="0" applyFont="0" applyFill="0" applyBorder="0" applyAlignment="0" applyProtection="0"/>
    <xf numFmtId="179" fontId="68" fillId="0" borderId="0" applyFont="0" applyFill="0" applyBorder="0" applyAlignment="0" applyProtection="0"/>
    <xf numFmtId="179" fontId="75" fillId="0" borderId="0" applyFont="0" applyFill="0" applyBorder="0" applyAlignment="0" applyProtection="0"/>
    <xf numFmtId="179" fontId="75" fillId="0" borderId="0" applyFont="0" applyFill="0" applyBorder="0" applyAlignment="0" applyProtection="0"/>
    <xf numFmtId="179" fontId="75" fillId="0" borderId="0" applyFont="0" applyFill="0" applyBorder="0" applyAlignment="0" applyProtection="0"/>
    <xf numFmtId="179" fontId="79" fillId="0" borderId="0" applyFont="0" applyFill="0" applyBorder="0" applyAlignment="0" applyProtection="0"/>
    <xf numFmtId="179" fontId="79" fillId="0" borderId="0" applyFont="0" applyFill="0" applyBorder="0" applyAlignment="0" applyProtection="0"/>
    <xf numFmtId="179" fontId="75" fillId="0" borderId="0" applyFont="0" applyFill="0" applyBorder="0" applyAlignment="0" applyProtection="0"/>
    <xf numFmtId="179" fontId="75" fillId="0" borderId="0" applyFont="0" applyFill="0" applyBorder="0" applyAlignment="0" applyProtection="0"/>
    <xf numFmtId="179" fontId="79" fillId="0" borderId="0" applyFont="0" applyFill="0" applyBorder="0" applyAlignment="0" applyProtection="0"/>
    <xf numFmtId="179" fontId="79" fillId="0" borderId="0" applyFont="0" applyFill="0" applyBorder="0" applyAlignment="0" applyProtection="0"/>
    <xf numFmtId="179" fontId="53" fillId="0" borderId="0" applyFont="0" applyFill="0" applyBorder="0" applyAlignment="0" applyProtection="0"/>
    <xf numFmtId="179" fontId="72" fillId="0" borderId="0" applyFont="0" applyFill="0" applyBorder="0" applyAlignment="0" applyProtection="0"/>
    <xf numFmtId="3" fontId="8" fillId="0" borderId="0" applyFont="0" applyFill="0" applyBorder="0" applyAlignment="0" applyProtection="0"/>
    <xf numFmtId="3" fontId="8" fillId="0" borderId="0" applyFont="0" applyFill="0" applyBorder="0" applyAlignment="0" applyProtection="0"/>
    <xf numFmtId="178" fontId="8" fillId="0" borderId="0" applyFont="0" applyFill="0" applyBorder="0" applyAlignment="0" applyProtection="0"/>
    <xf numFmtId="186" fontId="8" fillId="0" borderId="0" applyFont="0" applyFill="0" applyBorder="0" applyAlignment="0" applyProtection="0"/>
    <xf numFmtId="186" fontId="8" fillId="0" borderId="0" applyFont="0" applyFill="0" applyBorder="0" applyAlignment="0" applyProtection="0"/>
    <xf numFmtId="0" fontId="8" fillId="0" borderId="0" applyFont="0" applyFill="0" applyBorder="0" applyAlignment="0" applyProtection="0"/>
    <xf numFmtId="0" fontId="8" fillId="0" borderId="0" applyFont="0" applyFill="0" applyBorder="0" applyAlignment="0" applyProtection="0"/>
    <xf numFmtId="182" fontId="6" fillId="0" borderId="0" applyFont="0" applyFill="0" applyBorder="0" applyAlignment="0" applyProtection="0"/>
    <xf numFmtId="0" fontId="51" fillId="0" borderId="0" applyFont="0" applyFill="0" applyBorder="0" applyAlignment="0" applyProtection="0">
      <alignment vertical="top"/>
    </xf>
    <xf numFmtId="182" fontId="8" fillId="0" borderId="0" applyFont="0" applyFill="0" applyBorder="0" applyAlignment="0" applyProtection="0"/>
    <xf numFmtId="0" fontId="40" fillId="0" borderId="0" applyNumberFormat="0" applyFill="0" applyBorder="0" applyAlignment="0" applyProtection="0"/>
    <xf numFmtId="2" fontId="8" fillId="0" borderId="0" applyFont="0" applyFill="0" applyBorder="0" applyAlignment="0" applyProtection="0"/>
    <xf numFmtId="2" fontId="8" fillId="0" borderId="0" applyFont="0" applyFill="0" applyBorder="0" applyAlignment="0" applyProtection="0"/>
    <xf numFmtId="0" fontId="41" fillId="4" borderId="0" applyNumberFormat="0" applyBorder="0" applyAlignment="0" applyProtection="0"/>
    <xf numFmtId="0" fontId="54" fillId="0" borderId="3" applyNumberFormat="0" applyAlignment="0" applyProtection="0">
      <alignment horizontal="left" vertical="center"/>
    </xf>
    <xf numFmtId="0" fontId="54" fillId="0" borderId="4">
      <alignment horizontal="left" vertical="center"/>
    </xf>
    <xf numFmtId="0" fontId="42" fillId="0" borderId="5" applyNumberFormat="0" applyFill="0" applyAlignment="0" applyProtection="0"/>
    <xf numFmtId="0" fontId="43" fillId="0" borderId="6" applyNumberFormat="0" applyFill="0" applyAlignment="0" applyProtection="0"/>
    <xf numFmtId="0" fontId="44" fillId="0" borderId="7" applyNumberFormat="0" applyFill="0" applyAlignment="0" applyProtection="0"/>
    <xf numFmtId="0" fontId="44" fillId="0" borderId="0" applyNumberFormat="0" applyFill="0" applyBorder="0" applyAlignment="0" applyProtection="0"/>
    <xf numFmtId="0" fontId="69" fillId="0" borderId="0" applyNumberFormat="0" applyFill="0" applyBorder="0" applyAlignment="0" applyProtection="0">
      <alignment vertical="top"/>
      <protection locked="0"/>
    </xf>
    <xf numFmtId="0" fontId="45" fillId="7" borderId="1" applyNumberFormat="0" applyAlignment="0" applyProtection="0"/>
    <xf numFmtId="0" fontId="46" fillId="0" borderId="8" applyNumberFormat="0" applyFill="0" applyAlignment="0" applyProtection="0"/>
    <xf numFmtId="0" fontId="47" fillId="22" borderId="0" applyNumberFormat="0" applyBorder="0" applyAlignment="0" applyProtection="0"/>
    <xf numFmtId="187" fontId="55" fillId="0" borderId="0"/>
    <xf numFmtId="187" fontId="73" fillId="0" borderId="0"/>
    <xf numFmtId="0" fontId="75" fillId="0" borderId="0"/>
    <xf numFmtId="0" fontId="8" fillId="0" borderId="0"/>
    <xf numFmtId="0" fontId="35" fillId="0" borderId="0"/>
    <xf numFmtId="0" fontId="35" fillId="0" borderId="0"/>
    <xf numFmtId="0" fontId="8" fillId="0" borderId="0"/>
    <xf numFmtId="0" fontId="35" fillId="0" borderId="0"/>
    <xf numFmtId="0" fontId="35" fillId="0" borderId="0"/>
    <xf numFmtId="0" fontId="79" fillId="0" borderId="0"/>
    <xf numFmtId="0" fontId="35" fillId="0" borderId="0"/>
    <xf numFmtId="0" fontId="35" fillId="0" borderId="0"/>
    <xf numFmtId="0" fontId="79" fillId="0" borderId="0"/>
    <xf numFmtId="0" fontId="35" fillId="0" borderId="0"/>
    <xf numFmtId="0" fontId="35" fillId="0" borderId="0"/>
    <xf numFmtId="0" fontId="79" fillId="0" borderId="0"/>
    <xf numFmtId="0" fontId="35" fillId="0" borderId="0"/>
    <xf numFmtId="0" fontId="35" fillId="0" borderId="0"/>
    <xf numFmtId="0" fontId="79" fillId="0" borderId="0"/>
    <xf numFmtId="0" fontId="35" fillId="0" borderId="0"/>
    <xf numFmtId="0" fontId="35" fillId="0" borderId="0"/>
    <xf numFmtId="0" fontId="79" fillId="0" borderId="0"/>
    <xf numFmtId="0" fontId="35" fillId="0" borderId="0"/>
    <xf numFmtId="0" fontId="35" fillId="0" borderId="0"/>
    <xf numFmtId="0" fontId="79" fillId="0" borderId="0"/>
    <xf numFmtId="0" fontId="35" fillId="0" borderId="0"/>
    <xf numFmtId="0" fontId="35" fillId="0" borderId="0"/>
    <xf numFmtId="0" fontId="79" fillId="0" borderId="0"/>
    <xf numFmtId="0" fontId="35" fillId="0" borderId="0"/>
    <xf numFmtId="0" fontId="35" fillId="0" borderId="0"/>
    <xf numFmtId="0" fontId="79" fillId="0" borderId="0"/>
    <xf numFmtId="0" fontId="35" fillId="0" borderId="0"/>
    <xf numFmtId="0" fontId="3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6" fillId="0" borderId="0"/>
    <xf numFmtId="0" fontId="6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67"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9" fillId="0" borderId="0"/>
    <xf numFmtId="0" fontId="79" fillId="0" borderId="0"/>
    <xf numFmtId="0" fontId="8" fillId="0" borderId="0"/>
    <xf numFmtId="0" fontId="8" fillId="0" borderId="0"/>
    <xf numFmtId="0" fontId="8" fillId="0" borderId="0"/>
    <xf numFmtId="0" fontId="8" fillId="0" borderId="0"/>
    <xf numFmtId="0" fontId="75" fillId="0" borderId="0"/>
    <xf numFmtId="0" fontId="35" fillId="0" borderId="0"/>
    <xf numFmtId="0" fontId="35" fillId="0" borderId="0"/>
    <xf numFmtId="0" fontId="75" fillId="0" borderId="0"/>
    <xf numFmtId="0" fontId="35" fillId="0" borderId="0"/>
    <xf numFmtId="0" fontId="35" fillId="0" borderId="0"/>
    <xf numFmtId="0" fontId="75" fillId="0" borderId="0"/>
    <xf numFmtId="0" fontId="35" fillId="0" borderId="0"/>
    <xf numFmtId="0" fontId="35" fillId="0" borderId="0"/>
    <xf numFmtId="0" fontId="75" fillId="0" borderId="0"/>
    <xf numFmtId="0" fontId="35" fillId="0" borderId="0"/>
    <xf numFmtId="0" fontId="35" fillId="0" borderId="0"/>
    <xf numFmtId="0" fontId="75" fillId="0" borderId="0"/>
    <xf numFmtId="0" fontId="35" fillId="0" borderId="0"/>
    <xf numFmtId="0" fontId="35" fillId="0" borderId="0"/>
    <xf numFmtId="0" fontId="75" fillId="0" borderId="0"/>
    <xf numFmtId="0" fontId="35" fillId="0" borderId="0"/>
    <xf numFmtId="0" fontId="35" fillId="0" borderId="0"/>
    <xf numFmtId="0" fontId="75" fillId="0" borderId="0"/>
    <xf numFmtId="0" fontId="35" fillId="0" borderId="0"/>
    <xf numFmtId="0" fontId="35" fillId="0" borderId="0"/>
    <xf numFmtId="0" fontId="75" fillId="0" borderId="0"/>
    <xf numFmtId="0" fontId="35" fillId="0" borderId="0"/>
    <xf numFmtId="0" fontId="35" fillId="0" borderId="0"/>
    <xf numFmtId="0" fontId="75" fillId="0" borderId="0"/>
    <xf numFmtId="0" fontId="35" fillId="0" borderId="0"/>
    <xf numFmtId="0" fontId="35" fillId="0" borderId="0"/>
    <xf numFmtId="0" fontId="35" fillId="0" borderId="0"/>
    <xf numFmtId="0" fontId="35" fillId="0" borderId="0"/>
    <xf numFmtId="0" fontId="8" fillId="0" borderId="0"/>
    <xf numFmtId="0" fontId="8" fillId="0" borderId="0"/>
    <xf numFmtId="0" fontId="8" fillId="0" borderId="0"/>
    <xf numFmtId="0" fontId="35" fillId="0" borderId="0"/>
    <xf numFmtId="0" fontId="8" fillId="0" borderId="0"/>
    <xf numFmtId="0" fontId="68"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8" fillId="0" borderId="0"/>
    <xf numFmtId="0" fontId="8" fillId="0" borderId="0"/>
    <xf numFmtId="0" fontId="35" fillId="0" borderId="0"/>
    <xf numFmtId="0" fontId="35" fillId="0" borderId="0"/>
    <xf numFmtId="0" fontId="8" fillId="0" borderId="0"/>
    <xf numFmtId="0" fontId="8" fillId="0" borderId="0"/>
    <xf numFmtId="0" fontId="79" fillId="0" borderId="0"/>
    <xf numFmtId="0" fontId="79" fillId="0" borderId="0"/>
    <xf numFmtId="0" fontId="68" fillId="0" borderId="0"/>
    <xf numFmtId="0" fontId="8" fillId="0" borderId="0"/>
    <xf numFmtId="0" fontId="8" fillId="0" borderId="0"/>
    <xf numFmtId="0" fontId="8" fillId="0" borderId="0"/>
    <xf numFmtId="0" fontId="35" fillId="0" borderId="0"/>
    <xf numFmtId="0" fontId="8" fillId="0" borderId="0"/>
    <xf numFmtId="0" fontId="8" fillId="0" borderId="0"/>
    <xf numFmtId="0" fontId="8" fillId="0" borderId="0"/>
    <xf numFmtId="0" fontId="68" fillId="0" borderId="0"/>
    <xf numFmtId="0" fontId="68" fillId="0" borderId="0"/>
    <xf numFmtId="0" fontId="56" fillId="0" borderId="0"/>
    <xf numFmtId="0" fontId="68" fillId="0" borderId="0"/>
    <xf numFmtId="0" fontId="79" fillId="0" borderId="0">
      <alignment vertical="center"/>
    </xf>
    <xf numFmtId="0" fontId="79" fillId="0" borderId="0">
      <alignment vertical="center"/>
    </xf>
    <xf numFmtId="0" fontId="79" fillId="0" borderId="0">
      <alignment vertical="center"/>
    </xf>
    <xf numFmtId="0" fontId="79" fillId="0" borderId="0">
      <alignment vertical="center"/>
    </xf>
    <xf numFmtId="0" fontId="51" fillId="0" borderId="0">
      <alignment vertical="top"/>
    </xf>
    <xf numFmtId="0" fontId="8" fillId="0" borderId="0"/>
    <xf numFmtId="0" fontId="8" fillId="0" borderId="0"/>
    <xf numFmtId="0" fontId="35" fillId="0" borderId="0"/>
    <xf numFmtId="0" fontId="8" fillId="0" borderId="0"/>
    <xf numFmtId="0" fontId="51" fillId="0" borderId="0">
      <alignment vertical="top"/>
    </xf>
    <xf numFmtId="0" fontId="35" fillId="0" borderId="0"/>
    <xf numFmtId="0" fontId="79" fillId="0" borderId="0">
      <alignment vertical="center"/>
    </xf>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8" fillId="0" borderId="0"/>
    <xf numFmtId="0" fontId="8" fillId="0" borderId="0"/>
    <xf numFmtId="0" fontId="75" fillId="0" borderId="0"/>
    <xf numFmtId="0" fontId="75" fillId="0" borderId="0"/>
    <xf numFmtId="0" fontId="75" fillId="0" borderId="0"/>
    <xf numFmtId="0" fontId="79" fillId="0" borderId="0"/>
    <xf numFmtId="0" fontId="35" fillId="0" borderId="0"/>
    <xf numFmtId="0" fontId="7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5" fillId="0" borderId="0"/>
    <xf numFmtId="0" fontId="75" fillId="0" borderId="0"/>
    <xf numFmtId="0" fontId="75" fillId="0" borderId="0"/>
    <xf numFmtId="0" fontId="79" fillId="0" borderId="0"/>
    <xf numFmtId="0" fontId="35" fillId="0" borderId="0"/>
    <xf numFmtId="0" fontId="79" fillId="0" borderId="0"/>
    <xf numFmtId="0" fontId="35" fillId="0" borderId="0"/>
    <xf numFmtId="0" fontId="35" fillId="0" borderId="0"/>
    <xf numFmtId="0" fontId="75" fillId="0" borderId="0"/>
    <xf numFmtId="0" fontId="75" fillId="0" borderId="0"/>
    <xf numFmtId="0" fontId="79" fillId="0" borderId="0"/>
    <xf numFmtId="0" fontId="35" fillId="0" borderId="0"/>
    <xf numFmtId="0" fontId="79" fillId="0" borderId="0"/>
    <xf numFmtId="0" fontId="35" fillId="0" borderId="0"/>
    <xf numFmtId="0" fontId="53" fillId="0" borderId="0"/>
    <xf numFmtId="0" fontId="35" fillId="0" borderId="0"/>
    <xf numFmtId="0" fontId="72" fillId="0" borderId="0"/>
    <xf numFmtId="0" fontId="35" fillId="0" borderId="0"/>
    <xf numFmtId="0" fontId="6" fillId="0" borderId="0"/>
    <xf numFmtId="0" fontId="12" fillId="0" borderId="0"/>
    <xf numFmtId="0" fontId="6" fillId="0" borderId="0"/>
    <xf numFmtId="0" fontId="8" fillId="0" borderId="0"/>
    <xf numFmtId="0" fontId="8" fillId="0" borderId="0"/>
    <xf numFmtId="0" fontId="35" fillId="23" borderId="9" applyNumberFormat="0" applyFont="0" applyAlignment="0" applyProtection="0"/>
    <xf numFmtId="0" fontId="31" fillId="0" borderId="0"/>
    <xf numFmtId="0" fontId="48" fillId="20" borderId="10" applyNumberFormat="0" applyAlignment="0" applyProtection="0"/>
    <xf numFmtId="9" fontId="51" fillId="0" borderId="0" applyFont="0" applyFill="0" applyBorder="0" applyAlignment="0" applyProtection="0">
      <alignment vertical="top"/>
    </xf>
    <xf numFmtId="9" fontId="8" fillId="0" borderId="0" applyFont="0" applyFill="0" applyBorder="0" applyAlignment="0" applyProtection="0"/>
    <xf numFmtId="9" fontId="8" fillId="0" borderId="0" applyFont="0" applyFill="0" applyBorder="0" applyAlignment="0" applyProtection="0"/>
    <xf numFmtId="9" fontId="51" fillId="0" borderId="0" applyFont="0" applyFill="0" applyBorder="0" applyAlignment="0" applyProtection="0">
      <alignment vertical="top"/>
    </xf>
    <xf numFmtId="9" fontId="67" fillId="0" borderId="0" applyFont="0" applyFill="0" applyBorder="0" applyAlignment="0" applyProtection="0"/>
    <xf numFmtId="0" fontId="12" fillId="0" borderId="0" applyNumberFormat="0" applyFont="0" applyFill="0" applyBorder="0" applyAlignment="0" applyProtection="0">
      <alignment horizontal="left"/>
    </xf>
    <xf numFmtId="15" fontId="12" fillId="0" borderId="0" applyFont="0" applyFill="0" applyBorder="0" applyAlignment="0" applyProtection="0"/>
    <xf numFmtId="0" fontId="66" fillId="0" borderId="11">
      <alignment horizontal="center"/>
    </xf>
    <xf numFmtId="0" fontId="12" fillId="24" borderId="0" applyNumberFormat="0" applyFont="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0" fillId="0" borderId="0"/>
    <xf numFmtId="0" fontId="12" fillId="0" borderId="0"/>
    <xf numFmtId="0" fontId="31" fillId="0" borderId="0"/>
    <xf numFmtId="0" fontId="57" fillId="0" borderId="0">
      <alignment vertical="center" wrapText="1"/>
      <protection locked="0"/>
    </xf>
    <xf numFmtId="0" fontId="74" fillId="0" borderId="0" applyNumberFormat="0" applyFill="0" applyBorder="0" applyAlignment="0" applyProtection="0"/>
    <xf numFmtId="0" fontId="49" fillId="0" borderId="12" applyNumberFormat="0" applyFill="0" applyAlignment="0" applyProtection="0"/>
    <xf numFmtId="0" fontId="50" fillId="0" borderId="0" applyNumberFormat="0" applyFill="0" applyBorder="0" applyAlignment="0" applyProtection="0"/>
    <xf numFmtId="40" fontId="58" fillId="0" borderId="0" applyFont="0" applyFill="0" applyBorder="0" applyAlignment="0" applyProtection="0"/>
    <xf numFmtId="38" fontId="58" fillId="0" borderId="0" applyFont="0" applyFill="0" applyBorder="0" applyAlignment="0" applyProtection="0"/>
    <xf numFmtId="0" fontId="58" fillId="0" borderId="0" applyFont="0" applyFill="0" applyBorder="0" applyAlignment="0" applyProtection="0"/>
    <xf numFmtId="0" fontId="58" fillId="0" borderId="0" applyFont="0" applyFill="0" applyBorder="0" applyAlignment="0" applyProtection="0"/>
    <xf numFmtId="9" fontId="59" fillId="0" borderId="0" applyFont="0" applyFill="0" applyBorder="0" applyAlignment="0" applyProtection="0"/>
    <xf numFmtId="0" fontId="60" fillId="0" borderId="0"/>
    <xf numFmtId="0" fontId="8" fillId="0" borderId="0" applyFont="0" applyFill="0" applyBorder="0" applyAlignment="0" applyProtection="0"/>
    <xf numFmtId="188" fontId="61" fillId="0" borderId="0" applyFont="0" applyFill="0" applyBorder="0" applyAlignment="0" applyProtection="0"/>
    <xf numFmtId="189" fontId="62" fillId="0" borderId="0" applyFont="0" applyFill="0" applyBorder="0" applyAlignment="0" applyProtection="0"/>
    <xf numFmtId="190" fontId="62" fillId="0" borderId="0" applyFont="0" applyFill="0" applyBorder="0" applyAlignment="0" applyProtection="0"/>
    <xf numFmtId="0" fontId="8" fillId="0" borderId="0"/>
    <xf numFmtId="0" fontId="63" fillId="0" borderId="0"/>
    <xf numFmtId="0" fontId="64" fillId="0" borderId="0"/>
    <xf numFmtId="176" fontId="64" fillId="0" borderId="0" applyFont="0" applyFill="0" applyBorder="0" applyAlignment="0" applyProtection="0"/>
    <xf numFmtId="177" fontId="64" fillId="0" borderId="0" applyFont="0" applyFill="0" applyBorder="0" applyAlignment="0" applyProtection="0"/>
    <xf numFmtId="0" fontId="71" fillId="0" borderId="0"/>
    <xf numFmtId="0" fontId="65" fillId="0" borderId="0"/>
    <xf numFmtId="191" fontId="64" fillId="0" borderId="0" applyFont="0" applyFill="0" applyBorder="0" applyAlignment="0" applyProtection="0"/>
    <xf numFmtId="192" fontId="64" fillId="0" borderId="0" applyFont="0" applyFill="0" applyBorder="0" applyAlignment="0" applyProtection="0"/>
    <xf numFmtId="0" fontId="85" fillId="0" borderId="0"/>
    <xf numFmtId="0" fontId="54" fillId="0" borderId="25" applyNumberFormat="0" applyFill="0" applyBorder="0" applyAlignment="0" applyProtection="0"/>
    <xf numFmtId="0" fontId="6" fillId="0" borderId="0"/>
    <xf numFmtId="182" fontId="6" fillId="0" borderId="0" applyFont="0" applyFill="0" applyBorder="0" applyAlignment="0" applyProtection="0"/>
    <xf numFmtId="0" fontId="6" fillId="0" borderId="0"/>
    <xf numFmtId="0" fontId="6" fillId="0" borderId="0"/>
    <xf numFmtId="0" fontId="5"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9" fontId="6" fillId="0" borderId="0" applyFont="0" applyFill="0" applyBorder="0" applyAlignment="0" applyProtection="0"/>
    <xf numFmtId="179" fontId="6" fillId="0" borderId="0" applyFont="0" applyFill="0" applyBorder="0" applyAlignment="0" applyProtection="0"/>
    <xf numFmtId="182" fontId="6" fillId="0" borderId="0" applyFont="0" applyFill="0" applyBorder="0" applyAlignment="0" applyProtection="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5" fillId="0" borderId="0"/>
    <xf numFmtId="0" fontId="6" fillId="0" borderId="0"/>
    <xf numFmtId="0" fontId="5" fillId="0" borderId="0"/>
    <xf numFmtId="0" fontId="5"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182" fontId="6"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0" fontId="6" fillId="0" borderId="0"/>
    <xf numFmtId="0" fontId="6" fillId="0" borderId="0"/>
    <xf numFmtId="0" fontId="5"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9" fontId="6" fillId="0" borderId="0" applyFont="0" applyFill="0" applyBorder="0" applyAlignment="0" applyProtection="0"/>
    <xf numFmtId="179" fontId="6" fillId="0" borderId="0" applyFont="0" applyFill="0" applyBorder="0" applyAlignment="0" applyProtection="0"/>
    <xf numFmtId="182" fontId="6" fillId="0" borderId="0" applyFont="0" applyFill="0" applyBorder="0" applyAlignment="0" applyProtection="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0" fontId="5" fillId="0" borderId="0"/>
    <xf numFmtId="0" fontId="5" fillId="0" borderId="0"/>
    <xf numFmtId="0" fontId="6" fillId="0" borderId="0"/>
    <xf numFmtId="182" fontId="6"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0" fontId="6" fillId="0" borderId="0"/>
    <xf numFmtId="0" fontId="6" fillId="0" borderId="0"/>
    <xf numFmtId="0" fontId="5"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9" fontId="6" fillId="0" borderId="0" applyFont="0" applyFill="0" applyBorder="0" applyAlignment="0" applyProtection="0"/>
    <xf numFmtId="179" fontId="6" fillId="0" borderId="0" applyFont="0" applyFill="0" applyBorder="0" applyAlignment="0" applyProtection="0"/>
    <xf numFmtId="182" fontId="6" fillId="0" borderId="0" applyFont="0" applyFill="0" applyBorder="0" applyAlignment="0" applyProtection="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0" fontId="5" fillId="0" borderId="0"/>
    <xf numFmtId="0" fontId="5"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182" fontId="6"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0" fontId="6" fillId="0" borderId="0"/>
    <xf numFmtId="0" fontId="6" fillId="0" borderId="0"/>
    <xf numFmtId="0" fontId="5"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9" fontId="6" fillId="0" borderId="0" applyFont="0" applyFill="0" applyBorder="0" applyAlignment="0" applyProtection="0"/>
    <xf numFmtId="179" fontId="6" fillId="0" borderId="0" applyFont="0" applyFill="0" applyBorder="0" applyAlignment="0" applyProtection="0"/>
    <xf numFmtId="182" fontId="6" fillId="0" borderId="0" applyFont="0" applyFill="0" applyBorder="0" applyAlignment="0" applyProtection="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0" fontId="5" fillId="0" borderId="0"/>
    <xf numFmtId="0" fontId="5" fillId="0" borderId="0"/>
    <xf numFmtId="0" fontId="6" fillId="0" borderId="0"/>
    <xf numFmtId="182" fontId="6"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182" fontId="6"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9" fontId="6" fillId="0" borderId="0" applyFont="0" applyFill="0" applyBorder="0" applyAlignment="0" applyProtection="0"/>
    <xf numFmtId="177" fontId="6" fillId="0" borderId="0" applyFont="0" applyFill="0" applyBorder="0" applyAlignment="0" applyProtection="0"/>
    <xf numFmtId="184" fontId="6" fillId="0" borderId="0" applyFont="0" applyFill="0" applyBorder="0" applyAlignment="0" applyProtection="0"/>
    <xf numFmtId="179" fontId="6" fillId="0" borderId="0" applyFont="0" applyFill="0" applyBorder="0" applyAlignment="0" applyProtection="0"/>
    <xf numFmtId="184" fontId="6" fillId="0" borderId="0" applyFont="0" applyFill="0" applyBorder="0" applyAlignment="0" applyProtection="0"/>
    <xf numFmtId="185" fontId="6" fillId="0" borderId="0" applyFont="0" applyFill="0" applyBorder="0" applyAlignment="0" applyProtection="0"/>
    <xf numFmtId="179" fontId="2" fillId="0" borderId="0" applyFont="0" applyFill="0" applyBorder="0" applyAlignment="0" applyProtection="0"/>
    <xf numFmtId="185" fontId="6" fillId="0" borderId="0" applyFont="0" applyFill="0" applyBorder="0" applyAlignment="0" applyProtection="0"/>
    <xf numFmtId="184" fontId="6" fillId="0" borderId="0" applyFont="0" applyFill="0" applyBorder="0" applyAlignment="0" applyProtection="0"/>
    <xf numFmtId="184" fontId="6" fillId="0" borderId="0" applyFont="0" applyFill="0" applyBorder="0" applyAlignment="0" applyProtection="0"/>
    <xf numFmtId="179" fontId="2" fillId="0" borderId="0" applyFont="0" applyFill="0" applyBorder="0" applyAlignment="0" applyProtection="0"/>
    <xf numFmtId="179" fontId="2" fillId="0" borderId="0" applyFont="0" applyFill="0" applyBorder="0" applyAlignment="0" applyProtection="0"/>
    <xf numFmtId="179" fontId="2" fillId="0" borderId="0" applyFont="0" applyFill="0" applyBorder="0" applyAlignment="0" applyProtection="0"/>
    <xf numFmtId="179" fontId="2" fillId="0" borderId="0" applyFont="0" applyFill="0" applyBorder="0" applyAlignment="0" applyProtection="0"/>
    <xf numFmtId="179" fontId="2" fillId="0" borderId="0" applyFont="0" applyFill="0" applyBorder="0" applyAlignment="0" applyProtection="0"/>
    <xf numFmtId="179" fontId="2" fillId="0" borderId="0" applyFont="0" applyFill="0" applyBorder="0" applyAlignment="0" applyProtection="0"/>
    <xf numFmtId="3" fontId="6" fillId="0" borderId="0" applyFont="0" applyFill="0" applyBorder="0" applyAlignment="0" applyProtection="0"/>
    <xf numFmtId="3" fontId="6" fillId="0" borderId="0" applyFont="0" applyFill="0" applyBorder="0" applyAlignment="0" applyProtection="0"/>
    <xf numFmtId="178" fontId="6" fillId="0" borderId="0" applyFont="0" applyFill="0" applyBorder="0" applyAlignment="0" applyProtection="0"/>
    <xf numFmtId="186" fontId="6" fillId="0" borderId="0" applyFont="0" applyFill="0" applyBorder="0" applyAlignment="0" applyProtection="0"/>
    <xf numFmtId="186" fontId="6"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2" fontId="6" fillId="0" borderId="0" applyFont="0" applyFill="0" applyBorder="0" applyAlignment="0" applyProtection="0"/>
    <xf numFmtId="2" fontId="6" fillId="0" borderId="0" applyFont="0" applyFill="0" applyBorder="0" applyAlignment="0" applyProtection="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48" fillId="20" borderId="31" applyNumberFormat="0" applyAlignment="0" applyProtection="0"/>
    <xf numFmtId="9" fontId="6" fillId="0" borderId="0" applyFont="0" applyFill="0" applyBorder="0" applyAlignment="0" applyProtection="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9" fillId="0" borderId="32" applyNumberFormat="0" applyFill="0" applyAlignment="0" applyProtection="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05" fillId="0" borderId="0" applyFont="0" applyFill="0" applyBorder="0" applyAlignment="0" applyProtection="0">
      <alignment vertical="center"/>
    </xf>
  </cellStyleXfs>
  <cellXfs count="751">
    <xf numFmtId="0" fontId="0" fillId="0" borderId="0" xfId="0"/>
    <xf numFmtId="0" fontId="7" fillId="0" borderId="0" xfId="325" applyFont="1" applyFill="1" applyAlignment="1">
      <alignment vertical="top"/>
    </xf>
    <xf numFmtId="0" fontId="9" fillId="0" borderId="0" xfId="325" applyFont="1" applyFill="1" applyAlignment="1">
      <alignment vertical="top"/>
    </xf>
    <xf numFmtId="0" fontId="9" fillId="0" borderId="0" xfId="325" applyFont="1" applyFill="1" applyAlignment="1">
      <alignment vertical="top" wrapText="1"/>
    </xf>
    <xf numFmtId="0" fontId="8" fillId="0" borderId="0" xfId="325"/>
    <xf numFmtId="0" fontId="9" fillId="0" borderId="0" xfId="0" applyFont="1"/>
    <xf numFmtId="0" fontId="10" fillId="0" borderId="0" xfId="0" applyFont="1"/>
    <xf numFmtId="4" fontId="9" fillId="0" borderId="0" xfId="0" applyNumberFormat="1" applyFont="1" applyBorder="1" applyAlignment="1"/>
    <xf numFmtId="0" fontId="19" fillId="0" borderId="0" xfId="325" applyFont="1" applyFill="1" applyAlignment="1">
      <alignment vertical="top"/>
    </xf>
    <xf numFmtId="0" fontId="9" fillId="0" borderId="0" xfId="325" applyFont="1"/>
    <xf numFmtId="0" fontId="9" fillId="0" borderId="0" xfId="325" quotePrefix="1" applyFont="1" applyFill="1" applyAlignment="1">
      <alignment horizontal="center" vertical="top" wrapText="1"/>
    </xf>
    <xf numFmtId="0" fontId="9" fillId="0" borderId="14" xfId="0" applyFont="1" applyBorder="1"/>
    <xf numFmtId="4" fontId="9" fillId="0" borderId="14" xfId="0" applyNumberFormat="1" applyFont="1" applyBorder="1" applyAlignment="1"/>
    <xf numFmtId="4" fontId="9" fillId="25" borderId="0" xfId="0" applyNumberFormat="1" applyFont="1" applyFill="1" applyBorder="1" applyAlignment="1"/>
    <xf numFmtId="4" fontId="9" fillId="0" borderId="15" xfId="0" applyNumberFormat="1" applyFont="1" applyBorder="1" applyAlignment="1"/>
    <xf numFmtId="0" fontId="9" fillId="25" borderId="14" xfId="0" applyFont="1" applyFill="1" applyBorder="1"/>
    <xf numFmtId="0" fontId="14" fillId="25" borderId="0" xfId="0" applyFont="1" applyFill="1" applyBorder="1" applyAlignment="1">
      <alignment horizontal="center"/>
    </xf>
    <xf numFmtId="0" fontId="14" fillId="25" borderId="14" xfId="0" applyFont="1" applyFill="1" applyBorder="1" applyAlignment="1">
      <alignment horizontal="center"/>
    </xf>
    <xf numFmtId="4" fontId="9" fillId="25" borderId="14" xfId="0" applyNumberFormat="1" applyFont="1" applyFill="1" applyBorder="1" applyAlignment="1"/>
    <xf numFmtId="0" fontId="9" fillId="25" borderId="0" xfId="0" applyFont="1" applyFill="1" applyBorder="1" applyAlignment="1">
      <alignment horizontal="center"/>
    </xf>
    <xf numFmtId="0" fontId="9" fillId="25" borderId="0" xfId="0" applyFont="1" applyFill="1" applyBorder="1"/>
    <xf numFmtId="4" fontId="9" fillId="25" borderId="0" xfId="0" applyNumberFormat="1" applyFont="1" applyFill="1" applyBorder="1" applyAlignment="1">
      <alignment wrapText="1"/>
    </xf>
    <xf numFmtId="0" fontId="9" fillId="0" borderId="0" xfId="325" applyFont="1" applyFill="1" applyBorder="1" applyAlignment="1">
      <alignment vertical="center" wrapText="1"/>
    </xf>
    <xf numFmtId="0" fontId="9" fillId="25" borderId="15" xfId="0" applyFont="1" applyFill="1" applyBorder="1" applyAlignment="1">
      <alignment horizontal="center"/>
    </xf>
    <xf numFmtId="0" fontId="13" fillId="0" borderId="15" xfId="0" applyFont="1" applyBorder="1" applyAlignment="1">
      <alignment horizontal="center"/>
    </xf>
    <xf numFmtId="49" fontId="17" fillId="25" borderId="15" xfId="0" applyNumberFormat="1" applyFont="1" applyFill="1" applyBorder="1"/>
    <xf numFmtId="49" fontId="17" fillId="25" borderId="0" xfId="0" applyNumberFormat="1" applyFont="1" applyFill="1" applyBorder="1"/>
    <xf numFmtId="2" fontId="17" fillId="25" borderId="0" xfId="0" applyNumberFormat="1" applyFont="1" applyFill="1" applyBorder="1"/>
    <xf numFmtId="49" fontId="18" fillId="25" borderId="15" xfId="0" quotePrefix="1" applyNumberFormat="1" applyFont="1" applyFill="1" applyBorder="1"/>
    <xf numFmtId="49" fontId="18" fillId="25" borderId="0" xfId="0" quotePrefix="1" applyNumberFormat="1" applyFont="1" applyFill="1" applyBorder="1"/>
    <xf numFmtId="181" fontId="18" fillId="25" borderId="0" xfId="0" quotePrefix="1" applyNumberFormat="1" applyFont="1" applyFill="1" applyBorder="1" applyAlignment="1" applyProtection="1">
      <alignment horizontal="left"/>
      <protection locked="0"/>
    </xf>
    <xf numFmtId="0" fontId="9" fillId="25" borderId="14" xfId="0" applyFont="1" applyFill="1" applyBorder="1" applyAlignment="1">
      <alignment horizontal="center"/>
    </xf>
    <xf numFmtId="0" fontId="9" fillId="25" borderId="15" xfId="0" applyFont="1" applyFill="1" applyBorder="1"/>
    <xf numFmtId="0" fontId="9" fillId="25" borderId="15" xfId="322" applyFont="1" applyFill="1" applyBorder="1"/>
    <xf numFmtId="0" fontId="9" fillId="25" borderId="18" xfId="0" applyFont="1" applyFill="1" applyBorder="1"/>
    <xf numFmtId="0" fontId="9" fillId="25" borderId="16" xfId="0" applyFont="1" applyFill="1" applyBorder="1"/>
    <xf numFmtId="0" fontId="9" fillId="25" borderId="19" xfId="0" applyFont="1" applyFill="1" applyBorder="1"/>
    <xf numFmtId="0" fontId="13" fillId="0" borderId="0" xfId="0" applyFont="1" applyBorder="1" applyAlignment="1">
      <alignment horizontal="center"/>
    </xf>
    <xf numFmtId="181" fontId="13" fillId="0" borderId="14" xfId="0" applyNumberFormat="1" applyFont="1" applyFill="1" applyBorder="1" applyAlignment="1" applyProtection="1">
      <alignment horizontal="center"/>
      <protection locked="0"/>
    </xf>
    <xf numFmtId="0" fontId="9" fillId="0" borderId="0" xfId="322" quotePrefix="1" applyFont="1" applyBorder="1"/>
    <xf numFmtId="0" fontId="27" fillId="25" borderId="15" xfId="0" applyFont="1" applyFill="1" applyBorder="1"/>
    <xf numFmtId="0" fontId="27" fillId="25" borderId="0" xfId="0" applyFont="1" applyFill="1" applyBorder="1"/>
    <xf numFmtId="0" fontId="26" fillId="25" borderId="15" xfId="0" applyFont="1" applyFill="1" applyBorder="1" applyAlignment="1"/>
    <xf numFmtId="0" fontId="26" fillId="25" borderId="0" xfId="0" applyFont="1" applyFill="1" applyBorder="1" applyAlignment="1"/>
    <xf numFmtId="0" fontId="9" fillId="25" borderId="0" xfId="0" applyFont="1" applyFill="1" applyBorder="1" applyAlignment="1"/>
    <xf numFmtId="0" fontId="9" fillId="25" borderId="0" xfId="322" applyFont="1" applyFill="1" applyBorder="1" applyAlignment="1"/>
    <xf numFmtId="0" fontId="9" fillId="25" borderId="16" xfId="0" applyFont="1" applyFill="1" applyBorder="1" applyAlignment="1"/>
    <xf numFmtId="0" fontId="28" fillId="25" borderId="15" xfId="0" applyFont="1" applyFill="1" applyBorder="1"/>
    <xf numFmtId="0" fontId="28" fillId="25" borderId="0" xfId="0" applyFont="1" applyFill="1" applyBorder="1"/>
    <xf numFmtId="0" fontId="9" fillId="0" borderId="15" xfId="322" quotePrefix="1" applyFont="1" applyBorder="1" applyAlignment="1">
      <alignment horizontal="center"/>
    </xf>
    <xf numFmtId="0" fontId="9" fillId="25" borderId="15" xfId="0" applyFont="1" applyFill="1" applyBorder="1" applyAlignment="1"/>
    <xf numFmtId="181" fontId="9" fillId="25" borderId="14" xfId="0" applyNumberFormat="1" applyFont="1" applyFill="1" applyBorder="1" applyAlignment="1" applyProtection="1">
      <protection locked="0"/>
    </xf>
    <xf numFmtId="0" fontId="8" fillId="0" borderId="15" xfId="325" applyBorder="1"/>
    <xf numFmtId="180" fontId="9" fillId="0" borderId="14" xfId="323" applyNumberFormat="1" applyFont="1" applyFill="1" applyBorder="1" applyAlignment="1" applyProtection="1">
      <alignment horizontal="left"/>
      <protection locked="0"/>
    </xf>
    <xf numFmtId="0" fontId="9" fillId="0" borderId="14" xfId="323" applyNumberFormat="1" applyFont="1" applyFill="1" applyBorder="1" applyAlignment="1" applyProtection="1">
      <alignment horizontal="left"/>
      <protection locked="0"/>
    </xf>
    <xf numFmtId="49" fontId="9" fillId="0" borderId="14" xfId="323" applyNumberFormat="1" applyFont="1" applyFill="1" applyBorder="1" applyAlignment="1" applyProtection="1">
      <alignment horizontal="left"/>
      <protection locked="0"/>
    </xf>
    <xf numFmtId="49" fontId="9" fillId="0" borderId="14" xfId="0" applyNumberFormat="1" applyFont="1" applyFill="1" applyBorder="1" applyAlignment="1" applyProtection="1">
      <alignment horizontal="left"/>
      <protection locked="0"/>
    </xf>
    <xf numFmtId="0" fontId="9" fillId="0" borderId="14" xfId="0" applyNumberFormat="1" applyFont="1" applyFill="1" applyBorder="1" applyAlignment="1" applyProtection="1">
      <alignment horizontal="left"/>
      <protection locked="0"/>
    </xf>
    <xf numFmtId="0" fontId="9" fillId="0" borderId="14" xfId="0" applyNumberFormat="1" applyFont="1" applyFill="1" applyBorder="1" applyProtection="1">
      <protection locked="0"/>
    </xf>
    <xf numFmtId="180" fontId="9" fillId="0" borderId="14" xfId="0" applyNumberFormat="1" applyFont="1" applyFill="1" applyBorder="1" applyProtection="1">
      <protection locked="0"/>
    </xf>
    <xf numFmtId="1" fontId="9" fillId="0" borderId="0" xfId="0" applyNumberFormat="1" applyFont="1" applyBorder="1" applyAlignment="1"/>
    <xf numFmtId="1" fontId="9" fillId="25" borderId="0" xfId="0" applyNumberFormat="1" applyFont="1" applyFill="1" applyBorder="1" applyAlignment="1"/>
    <xf numFmtId="1" fontId="13" fillId="0" borderId="0" xfId="0" applyNumberFormat="1" applyFont="1" applyBorder="1" applyAlignment="1">
      <alignment horizontal="center"/>
    </xf>
    <xf numFmtId="0" fontId="9" fillId="0" borderId="0" xfId="325" applyFont="1" applyFill="1" applyAlignment="1">
      <alignment horizontal="center" vertical="top" wrapText="1"/>
    </xf>
    <xf numFmtId="4" fontId="9" fillId="25" borderId="15" xfId="0" applyNumberFormat="1" applyFont="1" applyFill="1" applyBorder="1" applyAlignment="1">
      <alignment horizontal="center"/>
    </xf>
    <xf numFmtId="4" fontId="9" fillId="25" borderId="0" xfId="0" applyNumberFormat="1" applyFont="1" applyFill="1" applyBorder="1" applyAlignment="1">
      <alignment horizontal="center"/>
    </xf>
    <xf numFmtId="4" fontId="9" fillId="25" borderId="0" xfId="0" applyNumberFormat="1" applyFont="1" applyFill="1" applyBorder="1"/>
    <xf numFmtId="0" fontId="9" fillId="0" borderId="0" xfId="325" applyFont="1" applyAlignment="1">
      <alignment horizontal="center"/>
    </xf>
    <xf numFmtId="180" fontId="9" fillId="0" borderId="0" xfId="323" applyNumberFormat="1" applyFont="1" applyFill="1" applyBorder="1" applyAlignment="1" applyProtection="1">
      <alignment horizontal="center"/>
      <protection locked="0"/>
    </xf>
    <xf numFmtId="180" fontId="9" fillId="0" borderId="0" xfId="323" quotePrefix="1" applyNumberFormat="1" applyFont="1" applyFill="1" applyBorder="1" applyAlignment="1" applyProtection="1">
      <alignment horizontal="center"/>
      <protection locked="0"/>
    </xf>
    <xf numFmtId="49" fontId="9" fillId="0" borderId="0" xfId="323" applyNumberFormat="1" applyFont="1" applyFill="1" applyBorder="1" applyAlignment="1" applyProtection="1">
      <alignment horizontal="center"/>
      <protection locked="0"/>
    </xf>
    <xf numFmtId="49" fontId="9" fillId="0" borderId="0" xfId="323" quotePrefix="1" applyNumberFormat="1" applyFont="1" applyFill="1" applyBorder="1" applyAlignment="1" applyProtection="1">
      <alignment horizontal="center"/>
      <protection locked="0"/>
    </xf>
    <xf numFmtId="0" fontId="9" fillId="0" borderId="0" xfId="0" applyNumberFormat="1" applyFont="1" applyFill="1" applyBorder="1" applyAlignment="1" applyProtection="1">
      <alignment horizontal="center"/>
      <protection locked="0"/>
    </xf>
    <xf numFmtId="49" fontId="9" fillId="0" borderId="0" xfId="0" quotePrefix="1" applyNumberFormat="1" applyFont="1" applyFill="1" applyBorder="1" applyAlignment="1" applyProtection="1">
      <alignment horizontal="center"/>
      <protection locked="0"/>
    </xf>
    <xf numFmtId="49" fontId="9" fillId="0" borderId="0" xfId="0" applyNumberFormat="1" applyFont="1" applyFill="1" applyBorder="1" applyAlignment="1" applyProtection="1">
      <alignment horizontal="center"/>
      <protection locked="0"/>
    </xf>
    <xf numFmtId="3" fontId="9" fillId="0" borderId="0" xfId="325" applyNumberFormat="1" applyFont="1" applyFill="1" applyAlignment="1">
      <alignment horizontal="center" vertical="top" wrapText="1"/>
    </xf>
    <xf numFmtId="180" fontId="9" fillId="0" borderId="0" xfId="0" applyNumberFormat="1" applyFont="1" applyFill="1" applyBorder="1" applyAlignment="1" applyProtection="1">
      <alignment horizontal="center"/>
      <protection locked="0"/>
    </xf>
    <xf numFmtId="180" fontId="9" fillId="0" borderId="0" xfId="0" quotePrefix="1" applyNumberFormat="1" applyFont="1" applyFill="1" applyBorder="1" applyAlignment="1" applyProtection="1">
      <alignment horizontal="center"/>
      <protection locked="0"/>
    </xf>
    <xf numFmtId="49" fontId="22" fillId="0" borderId="0" xfId="0" quotePrefix="1" applyNumberFormat="1" applyFont="1" applyFill="1" applyBorder="1" applyAlignment="1" applyProtection="1">
      <alignment horizontal="center"/>
      <protection locked="0"/>
    </xf>
    <xf numFmtId="0" fontId="0" fillId="0" borderId="0" xfId="0" applyAlignment="1">
      <alignment horizontal="center"/>
    </xf>
    <xf numFmtId="0" fontId="9" fillId="0" borderId="0" xfId="0" applyFont="1" applyBorder="1"/>
    <xf numFmtId="0" fontId="0" fillId="0" borderId="0" xfId="0" applyBorder="1"/>
    <xf numFmtId="0" fontId="30" fillId="0" borderId="0" xfId="325" applyFont="1" applyFill="1" applyBorder="1" applyAlignment="1">
      <alignment vertical="top"/>
    </xf>
    <xf numFmtId="0" fontId="29" fillId="0" borderId="0" xfId="325" applyFont="1" applyFill="1" applyBorder="1" applyAlignment="1">
      <alignment horizontal="right" vertical="top"/>
    </xf>
    <xf numFmtId="0" fontId="13" fillId="0" borderId="0" xfId="325" applyFont="1" applyFill="1" applyAlignment="1">
      <alignment horizontal="center" vertical="top"/>
    </xf>
    <xf numFmtId="0" fontId="10" fillId="0" borderId="0" xfId="325" applyFont="1" applyFill="1" applyBorder="1" applyAlignment="1">
      <alignment horizontal="right" vertical="top" wrapText="1"/>
    </xf>
    <xf numFmtId="0" fontId="9" fillId="0" borderId="0" xfId="325" applyFont="1" applyFill="1" applyAlignment="1">
      <alignment horizontal="center"/>
    </xf>
    <xf numFmtId="0" fontId="9" fillId="0" borderId="15" xfId="325" applyFont="1" applyFill="1" applyBorder="1"/>
    <xf numFmtId="0" fontId="9" fillId="0" borderId="0" xfId="325" applyFont="1" applyFill="1"/>
    <xf numFmtId="4" fontId="9" fillId="0" borderId="0" xfId="0" applyNumberFormat="1" applyFont="1" applyBorder="1" applyAlignment="1">
      <alignment horizontal="center"/>
    </xf>
    <xf numFmtId="3" fontId="9" fillId="0" borderId="0" xfId="0" applyNumberFormat="1" applyFont="1" applyBorder="1" applyAlignment="1">
      <alignment horizontal="center"/>
    </xf>
    <xf numFmtId="4" fontId="76" fillId="0" borderId="15" xfId="0" applyNumberFormat="1" applyFont="1" applyBorder="1" applyAlignment="1">
      <alignment horizontal="center"/>
    </xf>
    <xf numFmtId="180" fontId="9" fillId="0" borderId="14" xfId="0" applyNumberFormat="1" applyFont="1" applyFill="1" applyBorder="1" applyAlignment="1" applyProtection="1">
      <protection locked="0"/>
    </xf>
    <xf numFmtId="49" fontId="9" fillId="0" borderId="14" xfId="0" applyNumberFormat="1" applyFont="1" applyFill="1" applyBorder="1" applyAlignment="1" applyProtection="1">
      <protection locked="0"/>
    </xf>
    <xf numFmtId="49" fontId="9" fillId="0" borderId="14" xfId="323" applyNumberFormat="1" applyFont="1" applyFill="1" applyBorder="1" applyAlignment="1" applyProtection="1">
      <protection locked="0"/>
    </xf>
    <xf numFmtId="0" fontId="9" fillId="0" borderId="14" xfId="0" applyNumberFormat="1" applyFont="1" applyFill="1" applyBorder="1" applyAlignment="1" applyProtection="1">
      <protection locked="0"/>
    </xf>
    <xf numFmtId="0" fontId="9" fillId="0" borderId="0" xfId="325" quotePrefix="1" applyFont="1" applyFill="1" applyAlignment="1">
      <alignment horizontal="center" wrapText="1"/>
    </xf>
    <xf numFmtId="49" fontId="10" fillId="0" borderId="24" xfId="324" quotePrefix="1" applyNumberFormat="1" applyFont="1" applyFill="1" applyBorder="1" applyAlignment="1" applyProtection="1">
      <alignment horizontal="left"/>
      <protection locked="0"/>
    </xf>
    <xf numFmtId="49" fontId="10" fillId="0" borderId="24" xfId="323" applyNumberFormat="1" applyFont="1" applyFill="1" applyBorder="1" applyAlignment="1" applyProtection="1">
      <alignment horizontal="left"/>
      <protection locked="0"/>
    </xf>
    <xf numFmtId="0" fontId="10" fillId="0" borderId="24" xfId="0" applyFont="1" applyBorder="1"/>
    <xf numFmtId="0" fontId="10" fillId="0" borderId="24" xfId="0" applyFont="1" applyBorder="1" applyAlignment="1"/>
    <xf numFmtId="0" fontId="19" fillId="0" borderId="0" xfId="325" applyFont="1" applyFill="1" applyAlignment="1">
      <alignment horizontal="center" vertical="top"/>
    </xf>
    <xf numFmtId="0" fontId="32" fillId="0" borderId="0" xfId="325" applyFont="1" applyFill="1" applyBorder="1" applyAlignment="1">
      <alignment vertical="top"/>
    </xf>
    <xf numFmtId="0" fontId="9" fillId="0" borderId="0" xfId="0" applyFont="1" applyAlignment="1"/>
    <xf numFmtId="49" fontId="82" fillId="0" borderId="0" xfId="0" applyNumberFormat="1" applyFont="1"/>
    <xf numFmtId="49" fontId="0" fillId="0" borderId="0" xfId="0" applyNumberFormat="1"/>
    <xf numFmtId="0" fontId="8" fillId="0" borderId="0" xfId="0" applyNumberFormat="1" applyFont="1" applyAlignment="1">
      <alignment horizontal="left"/>
    </xf>
    <xf numFmtId="0" fontId="10" fillId="27" borderId="23" xfId="321" applyFont="1" applyFill="1" applyBorder="1" applyAlignment="1">
      <alignment horizontal="center"/>
    </xf>
    <xf numFmtId="0" fontId="10" fillId="27" borderId="23" xfId="321" applyFont="1" applyFill="1" applyBorder="1" applyAlignment="1">
      <alignment horizontal="center" wrapText="1"/>
    </xf>
    <xf numFmtId="14" fontId="9" fillId="0" borderId="0" xfId="0" applyNumberFormat="1" applyFont="1" applyAlignment="1">
      <alignment horizontal="center"/>
    </xf>
    <xf numFmtId="0" fontId="83" fillId="0" borderId="0" xfId="0" applyFont="1" applyFill="1" applyBorder="1"/>
    <xf numFmtId="0" fontId="13" fillId="0" borderId="0" xfId="325" applyFont="1" applyFill="1" applyAlignment="1">
      <alignment vertical="top"/>
    </xf>
    <xf numFmtId="0" fontId="84" fillId="0" borderId="0" xfId="0" applyFont="1" applyFill="1" applyBorder="1"/>
    <xf numFmtId="0" fontId="13" fillId="27" borderId="0" xfId="325" applyFont="1" applyFill="1" applyAlignment="1">
      <alignment horizontal="center" vertical="top" wrapText="1"/>
    </xf>
    <xf numFmtId="0" fontId="13" fillId="27" borderId="14" xfId="325" applyFont="1" applyFill="1" applyBorder="1" applyAlignment="1">
      <alignment horizontal="center" vertical="top" wrapText="1"/>
    </xf>
    <xf numFmtId="0" fontId="9" fillId="0" borderId="0" xfId="325" applyFont="1" applyFill="1" applyBorder="1" applyAlignment="1">
      <alignment vertical="top" wrapText="1"/>
    </xf>
    <xf numFmtId="0" fontId="13" fillId="0" borderId="0" xfId="325" applyFont="1" applyFill="1" applyBorder="1" applyAlignment="1">
      <alignment vertical="center" wrapText="1"/>
    </xf>
    <xf numFmtId="0" fontId="13" fillId="27" borderId="15" xfId="325" applyFont="1" applyFill="1" applyBorder="1" applyAlignment="1">
      <alignment horizontal="center" vertical="top" wrapText="1"/>
    </xf>
    <xf numFmtId="0" fontId="13" fillId="27" borderId="15" xfId="0" applyFont="1" applyFill="1" applyBorder="1" applyAlignment="1">
      <alignment horizontal="center"/>
    </xf>
    <xf numFmtId="0" fontId="13" fillId="27" borderId="0" xfId="0" applyFont="1" applyFill="1" applyBorder="1" applyAlignment="1">
      <alignment horizontal="center"/>
    </xf>
    <xf numFmtId="181" fontId="13" fillId="27" borderId="14" xfId="0" applyNumberFormat="1" applyFont="1" applyFill="1" applyBorder="1" applyAlignment="1" applyProtection="1">
      <alignment horizontal="center"/>
      <protection locked="0"/>
    </xf>
    <xf numFmtId="0" fontId="85" fillId="0" borderId="0" xfId="418"/>
    <xf numFmtId="49" fontId="85" fillId="0" borderId="0" xfId="418" applyNumberFormat="1"/>
    <xf numFmtId="0" fontId="54" fillId="0" borderId="0" xfId="419" applyBorder="1"/>
    <xf numFmtId="0" fontId="85" fillId="0" borderId="0" xfId="418" applyAlignment="1">
      <alignment horizontal="left" wrapText="1"/>
    </xf>
    <xf numFmtId="49" fontId="86" fillId="0" borderId="0" xfId="418" applyNumberFormat="1" applyFont="1" applyBorder="1"/>
    <xf numFmtId="0" fontId="86" fillId="0" borderId="0" xfId="418" applyNumberFormat="1" applyFont="1" applyBorder="1"/>
    <xf numFmtId="49" fontId="86" fillId="0" borderId="0" xfId="418" applyNumberFormat="1" applyFont="1" applyBorder="1" applyAlignment="1">
      <alignment wrapText="1"/>
    </xf>
    <xf numFmtId="0" fontId="86" fillId="0" borderId="0" xfId="418" applyNumberFormat="1" applyFont="1" applyBorder="1" applyAlignment="1">
      <alignment wrapText="1"/>
    </xf>
    <xf numFmtId="0" fontId="86" fillId="0" borderId="26" xfId="418" applyNumberFormat="1" applyFont="1" applyBorder="1" applyAlignment="1">
      <alignment wrapText="1"/>
    </xf>
    <xf numFmtId="49" fontId="88" fillId="0" borderId="27" xfId="418" applyNumberFormat="1" applyFont="1" applyBorder="1" applyAlignment="1">
      <alignment horizontal="center"/>
    </xf>
    <xf numFmtId="49" fontId="88" fillId="0" borderId="28" xfId="418" applyNumberFormat="1" applyFont="1" applyBorder="1" applyAlignment="1">
      <alignment horizontal="center"/>
    </xf>
    <xf numFmtId="49" fontId="88" fillId="0" borderId="29" xfId="418" applyNumberFormat="1" applyFont="1" applyBorder="1" applyAlignment="1">
      <alignment horizontal="center"/>
    </xf>
    <xf numFmtId="49" fontId="89" fillId="0" borderId="0" xfId="418" applyNumberFormat="1" applyFont="1"/>
    <xf numFmtId="183" fontId="86" fillId="0" borderId="26" xfId="418" applyNumberFormat="1" applyFont="1" applyBorder="1" applyAlignment="1">
      <alignment wrapText="1"/>
    </xf>
    <xf numFmtId="0" fontId="6" fillId="0" borderId="0" xfId="496"/>
    <xf numFmtId="0" fontId="83" fillId="0" borderId="0" xfId="423" applyFont="1" applyFill="1" applyBorder="1"/>
    <xf numFmtId="0" fontId="90" fillId="0" borderId="0" xfId="496" applyFont="1"/>
    <xf numFmtId="0" fontId="91" fillId="0" borderId="0" xfId="496" applyFont="1" applyAlignment="1">
      <alignment horizontal="left"/>
    </xf>
    <xf numFmtId="0" fontId="90" fillId="0" borderId="0" xfId="496" applyFont="1" applyFill="1" applyAlignment="1">
      <alignment horizontal="center"/>
    </xf>
    <xf numFmtId="0" fontId="92" fillId="28" borderId="23" xfId="496" applyFont="1" applyFill="1" applyBorder="1" applyAlignment="1">
      <alignment horizontal="center"/>
    </xf>
    <xf numFmtId="0" fontId="90" fillId="0" borderId="23" xfId="496" applyFont="1" applyBorder="1" applyAlignment="1">
      <alignment horizontal="center"/>
    </xf>
    <xf numFmtId="0" fontId="6" fillId="0" borderId="0" xfId="422"/>
    <xf numFmtId="0" fontId="90" fillId="0" borderId="0" xfId="422" applyFont="1"/>
    <xf numFmtId="0" fontId="92" fillId="0" borderId="0" xfId="422" applyFont="1"/>
    <xf numFmtId="0" fontId="9" fillId="0" borderId="0" xfId="1737" applyFont="1" applyFill="1" applyBorder="1" applyAlignment="1">
      <alignment horizontal="center" vertical="top" wrapText="1"/>
    </xf>
    <xf numFmtId="0" fontId="32" fillId="0" borderId="0" xfId="1737" applyFont="1" applyFill="1" applyBorder="1" applyAlignment="1">
      <alignment horizontal="center" vertical="top"/>
    </xf>
    <xf numFmtId="0" fontId="32" fillId="0" borderId="0" xfId="1737" applyFont="1" applyFill="1" applyBorder="1" applyAlignment="1">
      <alignment vertical="top"/>
    </xf>
    <xf numFmtId="0" fontId="10" fillId="0" borderId="0" xfId="0" applyFont="1" applyFill="1" applyBorder="1"/>
    <xf numFmtId="0" fontId="90" fillId="0" borderId="0" xfId="0" applyFont="1" applyAlignment="1">
      <alignment horizontal="center"/>
    </xf>
    <xf numFmtId="0" fontId="90" fillId="0" borderId="0" xfId="0" applyFont="1" applyFill="1" applyAlignment="1">
      <alignment horizontal="center"/>
    </xf>
    <xf numFmtId="0" fontId="9" fillId="0" borderId="0" xfId="0" applyFont="1" applyAlignment="1">
      <alignment horizontal="center"/>
    </xf>
    <xf numFmtId="10" fontId="10" fillId="31" borderId="23" xfId="0" applyNumberFormat="1" applyFont="1" applyFill="1" applyBorder="1"/>
    <xf numFmtId="0" fontId="13" fillId="0" borderId="0" xfId="1737" applyFont="1" applyFill="1" applyBorder="1" applyAlignment="1">
      <alignment horizontal="center"/>
    </xf>
    <xf numFmtId="0" fontId="96" fillId="0" borderId="23" xfId="0" applyFont="1" applyBorder="1"/>
    <xf numFmtId="0" fontId="92" fillId="0" borderId="23" xfId="0" applyFont="1" applyBorder="1"/>
    <xf numFmtId="0" fontId="90" fillId="0" borderId="0" xfId="0" applyFont="1" applyFill="1"/>
    <xf numFmtId="10" fontId="90" fillId="0" borderId="23" xfId="0" applyNumberFormat="1" applyFont="1" applyBorder="1"/>
    <xf numFmtId="10" fontId="96" fillId="0" borderId="23" xfId="0" applyNumberFormat="1" applyFont="1" applyBorder="1" applyAlignment="1">
      <alignment horizontal="center"/>
    </xf>
    <xf numFmtId="0" fontId="10" fillId="31" borderId="23" xfId="0" applyFont="1" applyFill="1" applyBorder="1"/>
    <xf numFmtId="0" fontId="9" fillId="0" borderId="0" xfId="0" applyFont="1" applyFill="1"/>
    <xf numFmtId="0" fontId="9" fillId="0" borderId="0" xfId="1737" applyFont="1" applyFill="1" applyBorder="1" applyAlignment="1">
      <alignment horizontal="center" vertical="top"/>
    </xf>
    <xf numFmtId="0" fontId="90" fillId="0" borderId="0" xfId="0" applyFont="1"/>
    <xf numFmtId="0" fontId="6" fillId="0" borderId="0" xfId="846"/>
    <xf numFmtId="0" fontId="91" fillId="0" borderId="0" xfId="846" applyFont="1" applyAlignment="1">
      <alignment horizontal="left"/>
    </xf>
    <xf numFmtId="0" fontId="90" fillId="0" borderId="23" xfId="846" applyFont="1" applyBorder="1" applyAlignment="1">
      <alignment horizontal="center"/>
    </xf>
    <xf numFmtId="0" fontId="92" fillId="0" borderId="0" xfId="534" applyFont="1"/>
    <xf numFmtId="0" fontId="83" fillId="0" borderId="0" xfId="868" applyFont="1" applyFill="1" applyBorder="1" applyAlignment="1">
      <alignment horizontal="left"/>
    </xf>
    <xf numFmtId="0" fontId="92" fillId="29" borderId="23" xfId="846" applyFont="1" applyFill="1" applyBorder="1" applyAlignment="1">
      <alignment horizontal="center" vertical="center"/>
    </xf>
    <xf numFmtId="0" fontId="92" fillId="29" borderId="23" xfId="846" applyFont="1" applyFill="1" applyBorder="1" applyAlignment="1">
      <alignment horizontal="center" vertical="center" wrapText="1"/>
    </xf>
    <xf numFmtId="0" fontId="90" fillId="0" borderId="23" xfId="846" applyFont="1" applyBorder="1" applyAlignment="1">
      <alignment horizontal="center" wrapText="1"/>
    </xf>
    <xf numFmtId="0" fontId="9" fillId="0" borderId="0" xfId="534" applyFont="1" applyAlignment="1">
      <alignment horizontal="center"/>
    </xf>
    <xf numFmtId="0" fontId="9" fillId="0" borderId="0" xfId="534" applyFont="1" applyFill="1" applyAlignment="1">
      <alignment horizontal="center"/>
    </xf>
    <xf numFmtId="0" fontId="9" fillId="0" borderId="0" xfId="1737" applyFont="1" applyFill="1" applyAlignment="1">
      <alignment horizontal="center" vertical="top" wrapText="1"/>
    </xf>
    <xf numFmtId="0" fontId="10" fillId="0" borderId="0" xfId="1737" applyFont="1" applyFill="1" applyAlignment="1">
      <alignment horizontal="center" vertical="top" wrapText="1"/>
    </xf>
    <xf numFmtId="0" fontId="9" fillId="30" borderId="23" xfId="534" applyFont="1" applyFill="1" applyBorder="1" applyAlignment="1">
      <alignment horizontal="center"/>
    </xf>
    <xf numFmtId="0" fontId="10" fillId="30" borderId="23" xfId="534" applyFont="1" applyFill="1" applyBorder="1" applyAlignment="1">
      <alignment horizontal="center"/>
    </xf>
    <xf numFmtId="0" fontId="9" fillId="0" borderId="23" xfId="534" applyFont="1" applyBorder="1" applyAlignment="1">
      <alignment horizontal="center" vertical="center"/>
    </xf>
    <xf numFmtId="0" fontId="9" fillId="0" borderId="23" xfId="534" applyFont="1" applyBorder="1" applyAlignment="1">
      <alignment horizontal="center"/>
    </xf>
    <xf numFmtId="0" fontId="9" fillId="0" borderId="23" xfId="534" applyFont="1" applyFill="1" applyBorder="1" applyAlignment="1">
      <alignment horizontal="center" wrapText="1"/>
    </xf>
    <xf numFmtId="0" fontId="9" fillId="0" borderId="23" xfId="534" applyFont="1" applyFill="1" applyBorder="1" applyAlignment="1">
      <alignment horizontal="center"/>
    </xf>
    <xf numFmtId="0" fontId="97" fillId="0" borderId="23" xfId="534" quotePrefix="1" applyFont="1" applyFill="1" applyBorder="1" applyAlignment="1">
      <alignment horizontal="center" wrapText="1"/>
    </xf>
    <xf numFmtId="0" fontId="9" fillId="0" borderId="23" xfId="534" quotePrefix="1" applyFont="1" applyFill="1" applyBorder="1" applyAlignment="1">
      <alignment horizontal="center" wrapText="1"/>
    </xf>
    <xf numFmtId="0" fontId="9" fillId="0" borderId="23" xfId="534" applyFont="1" applyFill="1" applyBorder="1"/>
    <xf numFmtId="0" fontId="90" fillId="0" borderId="0" xfId="534" applyFont="1" applyBorder="1" applyAlignment="1"/>
    <xf numFmtId="0" fontId="9" fillId="0" borderId="0" xfId="534" applyFont="1" applyBorder="1" applyAlignment="1"/>
    <xf numFmtId="0" fontId="10" fillId="0" borderId="23" xfId="534" applyFont="1" applyBorder="1"/>
    <xf numFmtId="0" fontId="9" fillId="0" borderId="0" xfId="534" applyFont="1"/>
    <xf numFmtId="0" fontId="10" fillId="0" borderId="0" xfId="534" applyFont="1"/>
    <xf numFmtId="0" fontId="96" fillId="0" borderId="23" xfId="534" applyFont="1" applyBorder="1"/>
    <xf numFmtId="0" fontId="92" fillId="0" borderId="23" xfId="534" applyFont="1" applyBorder="1"/>
    <xf numFmtId="9" fontId="9" fillId="0" borderId="23" xfId="534" applyNumberFormat="1" applyFont="1" applyBorder="1"/>
    <xf numFmtId="0" fontId="6" fillId="0" borderId="0" xfId="846"/>
    <xf numFmtId="0" fontId="92" fillId="0" borderId="0" xfId="884" applyFont="1"/>
    <xf numFmtId="0" fontId="90" fillId="0" borderId="0" xfId="884" applyFont="1"/>
    <xf numFmtId="0" fontId="6" fillId="0" borderId="0" xfId="884"/>
    <xf numFmtId="0" fontId="90" fillId="0" borderId="23" xfId="846" applyFont="1" applyBorder="1" applyAlignment="1">
      <alignment horizontal="center"/>
    </xf>
    <xf numFmtId="0" fontId="8" fillId="0" borderId="0" xfId="325" applyBorder="1"/>
    <xf numFmtId="0" fontId="6" fillId="0" borderId="0" xfId="2962"/>
    <xf numFmtId="0" fontId="9" fillId="0" borderId="0" xfId="1737" applyFont="1" applyFill="1" applyAlignment="1">
      <alignment vertical="top" wrapText="1"/>
    </xf>
    <xf numFmtId="0" fontId="9" fillId="0" borderId="0" xfId="1737" applyFont="1" applyFill="1" applyAlignment="1">
      <alignment horizontal="center" vertical="top" wrapText="1"/>
    </xf>
    <xf numFmtId="0" fontId="32" fillId="0" borderId="0" xfId="1737" applyFont="1" applyFill="1" applyBorder="1" applyAlignment="1">
      <alignment vertical="top"/>
    </xf>
    <xf numFmtId="0" fontId="10" fillId="0" borderId="0" xfId="1737" applyFont="1" applyFill="1" applyBorder="1" applyAlignment="1">
      <alignment vertical="top"/>
    </xf>
    <xf numFmtId="0" fontId="6" fillId="0" borderId="0" xfId="846"/>
    <xf numFmtId="0" fontId="9" fillId="0" borderId="0" xfId="846" applyFont="1"/>
    <xf numFmtId="0" fontId="10" fillId="0" borderId="0" xfId="846" applyFont="1" applyAlignment="1">
      <alignment horizontal="center"/>
    </xf>
    <xf numFmtId="0" fontId="10" fillId="27" borderId="0" xfId="846" applyFont="1" applyFill="1" applyAlignment="1">
      <alignment horizontal="center"/>
    </xf>
    <xf numFmtId="0" fontId="10" fillId="0" borderId="0" xfId="1737" applyFont="1" applyFill="1" applyBorder="1" applyAlignment="1">
      <alignment horizontal="right" vertical="top"/>
    </xf>
    <xf numFmtId="0" fontId="9" fillId="0" borderId="0" xfId="846" applyFont="1" applyAlignment="1">
      <alignment horizontal="left"/>
    </xf>
    <xf numFmtId="49" fontId="9" fillId="0" borderId="0" xfId="846" applyNumberFormat="1" applyFont="1"/>
    <xf numFmtId="0" fontId="10" fillId="0" borderId="0" xfId="773" applyFont="1" applyAlignment="1">
      <alignment horizontal="center"/>
    </xf>
    <xf numFmtId="0" fontId="9" fillId="0" borderId="0" xfId="773" applyFont="1" applyAlignment="1">
      <alignment horizontal="left"/>
    </xf>
    <xf numFmtId="49" fontId="9" fillId="0" borderId="0" xfId="773" applyNumberFormat="1" applyFont="1" applyAlignment="1">
      <alignment horizontal="left"/>
    </xf>
    <xf numFmtId="180" fontId="9" fillId="0" borderId="14" xfId="323" applyNumberFormat="1" applyFont="1" applyFill="1" applyBorder="1" applyAlignment="1" applyProtection="1">
      <alignment horizontal="left"/>
      <protection locked="0"/>
    </xf>
    <xf numFmtId="0" fontId="9" fillId="0" borderId="0" xfId="846" applyNumberFormat="1" applyFont="1" applyFill="1" applyBorder="1" applyAlignment="1" applyProtection="1">
      <alignment horizontal="center" vertical="top" wrapText="1"/>
    </xf>
    <xf numFmtId="0" fontId="6" fillId="0" borderId="0" xfId="4190"/>
    <xf numFmtId="0" fontId="9" fillId="0" borderId="0" xfId="1737" applyFont="1"/>
    <xf numFmtId="180" fontId="9" fillId="0" borderId="0" xfId="323" applyNumberFormat="1" applyFont="1" applyFill="1" applyBorder="1" applyAlignment="1" applyProtection="1">
      <alignment horizontal="left"/>
      <protection locked="0"/>
    </xf>
    <xf numFmtId="49" fontId="9" fillId="0" borderId="0" xfId="323" applyNumberFormat="1" applyFont="1" applyFill="1" applyBorder="1" applyAlignment="1" applyProtection="1">
      <alignment horizontal="center"/>
      <protection locked="0"/>
    </xf>
    <xf numFmtId="49" fontId="9" fillId="0" borderId="0" xfId="323" quotePrefix="1" applyNumberFormat="1" applyFont="1" applyFill="1" applyBorder="1" applyAlignment="1" applyProtection="1">
      <alignment horizontal="center"/>
      <protection locked="0"/>
    </xf>
    <xf numFmtId="0" fontId="9" fillId="0" borderId="0" xfId="3271" applyFont="1" applyFill="1" applyAlignment="1">
      <alignment horizontal="center" vertical="top" wrapText="1"/>
    </xf>
    <xf numFmtId="0" fontId="9" fillId="0" borderId="0" xfId="3271" applyFont="1" applyAlignment="1">
      <alignment horizontal="center"/>
    </xf>
    <xf numFmtId="0" fontId="10" fillId="30" borderId="23" xfId="534" applyFont="1" applyFill="1" applyBorder="1" applyAlignment="1">
      <alignment horizontal="center"/>
    </xf>
    <xf numFmtId="0" fontId="9" fillId="0" borderId="23" xfId="534" applyFont="1" applyBorder="1" applyAlignment="1">
      <alignment horizontal="center" vertical="center"/>
    </xf>
    <xf numFmtId="0" fontId="9" fillId="0" borderId="23" xfId="534" applyFont="1" applyBorder="1" applyAlignment="1">
      <alignment horizontal="center"/>
    </xf>
    <xf numFmtId="0" fontId="10" fillId="0" borderId="23" xfId="534" applyFont="1" applyBorder="1" applyAlignment="1">
      <alignment wrapText="1"/>
    </xf>
    <xf numFmtId="0" fontId="10" fillId="0" borderId="23" xfId="534" applyFont="1" applyFill="1" applyBorder="1"/>
    <xf numFmtId="0" fontId="10" fillId="0" borderId="23" xfId="534" applyFont="1" applyFill="1" applyBorder="1" applyAlignment="1">
      <alignment horizontal="left"/>
    </xf>
    <xf numFmtId="0" fontId="10" fillId="0" borderId="23" xfId="534" applyFont="1" applyBorder="1"/>
    <xf numFmtId="0" fontId="92" fillId="35" borderId="23" xfId="0" applyFont="1" applyFill="1" applyBorder="1" applyAlignment="1">
      <alignment horizontal="center"/>
    </xf>
    <xf numFmtId="0" fontId="10" fillId="35" borderId="23" xfId="534" applyFont="1" applyFill="1" applyBorder="1" applyAlignment="1">
      <alignment horizontal="right"/>
    </xf>
    <xf numFmtId="0" fontId="10" fillId="34" borderId="23" xfId="846" applyFont="1" applyFill="1" applyBorder="1" applyAlignment="1">
      <alignment horizontal="center"/>
    </xf>
    <xf numFmtId="0" fontId="10" fillId="35" borderId="23" xfId="0" applyFont="1" applyFill="1" applyBorder="1" applyAlignment="1">
      <alignment horizontal="center"/>
    </xf>
    <xf numFmtId="0" fontId="32" fillId="0" borderId="0" xfId="1737" applyFont="1" applyFill="1" applyBorder="1" applyAlignment="1">
      <alignment vertical="top"/>
    </xf>
    <xf numFmtId="0" fontId="10" fillId="0" borderId="0" xfId="1737" applyFont="1" applyFill="1" applyBorder="1" applyAlignment="1">
      <alignment vertical="top"/>
    </xf>
    <xf numFmtId="0" fontId="84" fillId="0" borderId="0" xfId="846" applyFont="1" applyFill="1" applyBorder="1"/>
    <xf numFmtId="0" fontId="83" fillId="0" borderId="0" xfId="846" applyFont="1" applyFill="1" applyBorder="1"/>
    <xf numFmtId="0" fontId="9" fillId="0" borderId="23" xfId="846" applyFont="1" applyBorder="1"/>
    <xf numFmtId="0" fontId="9" fillId="0" borderId="0" xfId="1737" applyFont="1" applyFill="1" applyAlignment="1">
      <alignment vertical="top"/>
    </xf>
    <xf numFmtId="0" fontId="10" fillId="0" borderId="0" xfId="1737" applyFont="1" applyFill="1" applyBorder="1" applyAlignment="1">
      <alignment horizontal="right" vertical="top" wrapText="1"/>
    </xf>
    <xf numFmtId="0" fontId="81" fillId="0" borderId="0" xfId="846" applyFont="1" applyFill="1" applyBorder="1"/>
    <xf numFmtId="0" fontId="10" fillId="30" borderId="23" xfId="846" applyFont="1" applyFill="1" applyBorder="1" applyAlignment="1">
      <alignment horizontal="center"/>
    </xf>
    <xf numFmtId="0" fontId="9" fillId="0" borderId="23" xfId="846" applyFont="1" applyBorder="1" applyAlignment="1">
      <alignment horizontal="left" vertical="center"/>
    </xf>
    <xf numFmtId="0" fontId="9" fillId="0" borderId="23" xfId="846" applyFont="1" applyBorder="1" applyAlignment="1">
      <alignment horizontal="left" wrapText="1"/>
    </xf>
    <xf numFmtId="0" fontId="9" fillId="0" borderId="23" xfId="846" applyFont="1" applyBorder="1" applyAlignment="1">
      <alignment horizontal="left" vertical="center" wrapText="1"/>
    </xf>
    <xf numFmtId="0" fontId="9" fillId="0" borderId="23" xfId="846" applyFont="1" applyBorder="1" applyAlignment="1">
      <alignment wrapText="1"/>
    </xf>
    <xf numFmtId="0" fontId="10" fillId="32" borderId="23" xfId="846" applyFont="1" applyFill="1" applyBorder="1" applyAlignment="1">
      <alignment horizontal="center"/>
    </xf>
    <xf numFmtId="0" fontId="9" fillId="32" borderId="23" xfId="846" applyFont="1" applyFill="1" applyBorder="1" applyAlignment="1">
      <alignment horizontal="center"/>
    </xf>
    <xf numFmtId="0" fontId="10" fillId="32" borderId="23" xfId="846" applyFont="1" applyFill="1" applyBorder="1" applyAlignment="1">
      <alignment horizontal="center" vertical="center"/>
    </xf>
    <xf numFmtId="0" fontId="10" fillId="33" borderId="23" xfId="534" applyFont="1" applyFill="1" applyBorder="1" applyAlignment="1">
      <alignment horizontal="center"/>
    </xf>
    <xf numFmtId="0" fontId="98" fillId="0" borderId="0" xfId="0" applyFont="1"/>
    <xf numFmtId="0" fontId="90" fillId="0" borderId="23" xfId="0" applyFont="1" applyBorder="1" applyAlignment="1">
      <alignment horizontal="center"/>
    </xf>
    <xf numFmtId="17" fontId="90" fillId="0" borderId="23" xfId="0" applyNumberFormat="1" applyFont="1" applyBorder="1" applyAlignment="1">
      <alignment horizontal="center"/>
    </xf>
    <xf numFmtId="10" fontId="90" fillId="0" borderId="23" xfId="0" applyNumberFormat="1" applyFont="1" applyBorder="1" applyAlignment="1">
      <alignment horizontal="center"/>
    </xf>
    <xf numFmtId="10" fontId="9" fillId="0" borderId="23" xfId="0" applyNumberFormat="1" applyFont="1" applyFill="1" applyBorder="1"/>
    <xf numFmtId="0" fontId="92" fillId="0" borderId="0" xfId="0" applyFont="1" applyAlignment="1">
      <alignment horizontal="center"/>
    </xf>
    <xf numFmtId="10" fontId="92" fillId="0" borderId="13" xfId="0" applyNumberFormat="1" applyFont="1" applyBorder="1" applyAlignment="1">
      <alignment horizontal="center"/>
    </xf>
    <xf numFmtId="0" fontId="10" fillId="0" borderId="23" xfId="0" applyFont="1" applyBorder="1" applyAlignment="1">
      <alignment horizontal="center"/>
    </xf>
    <xf numFmtId="0" fontId="96" fillId="0" borderId="23" xfId="0" applyFont="1" applyBorder="1" applyAlignment="1">
      <alignment horizontal="center"/>
    </xf>
    <xf numFmtId="17" fontId="90" fillId="36" borderId="23" xfId="0" applyNumberFormat="1" applyFont="1" applyFill="1" applyBorder="1" applyAlignment="1">
      <alignment horizontal="center"/>
    </xf>
    <xf numFmtId="0" fontId="0" fillId="36" borderId="0" xfId="0" applyFill="1"/>
    <xf numFmtId="0" fontId="92" fillId="37" borderId="0" xfId="0" applyFont="1" applyFill="1" applyAlignment="1">
      <alignment horizontal="left"/>
    </xf>
    <xf numFmtId="9" fontId="99" fillId="37" borderId="33" xfId="0" applyNumberFormat="1" applyFont="1" applyFill="1" applyBorder="1" applyAlignment="1">
      <alignment horizontal="center" vertical="center" wrapText="1"/>
    </xf>
    <xf numFmtId="0" fontId="90" fillId="0" borderId="0" xfId="0" applyFont="1" applyFill="1" applyAlignment="1">
      <alignment horizontal="left"/>
    </xf>
    <xf numFmtId="9" fontId="100" fillId="38" borderId="33" xfId="0" applyNumberFormat="1" applyFont="1" applyFill="1" applyBorder="1" applyAlignment="1">
      <alignment horizontal="center" vertical="center" wrapText="1"/>
    </xf>
    <xf numFmtId="0" fontId="99" fillId="37" borderId="33" xfId="0" applyFont="1" applyFill="1" applyBorder="1" applyAlignment="1">
      <alignment horizontal="left" vertical="center" wrapText="1"/>
    </xf>
    <xf numFmtId="0" fontId="99" fillId="38" borderId="33" xfId="0" applyFont="1" applyFill="1" applyBorder="1" applyAlignment="1">
      <alignment vertical="center" wrapText="1"/>
    </xf>
    <xf numFmtId="0" fontId="90" fillId="38" borderId="33" xfId="0" applyFont="1" applyFill="1" applyBorder="1" applyAlignment="1">
      <alignment vertical="center" wrapText="1"/>
    </xf>
    <xf numFmtId="0" fontId="100" fillId="0" borderId="0" xfId="0" applyFont="1" applyFill="1" applyBorder="1" applyAlignment="1">
      <alignment horizontal="left" vertical="center" wrapText="1"/>
    </xf>
    <xf numFmtId="0" fontId="99" fillId="0" borderId="33" xfId="0" applyFont="1" applyFill="1" applyBorder="1" applyAlignment="1">
      <alignment vertical="center" wrapText="1"/>
    </xf>
    <xf numFmtId="0" fontId="90" fillId="0" borderId="33" xfId="0" applyFont="1" applyFill="1" applyBorder="1" applyAlignment="1">
      <alignment vertical="center" wrapText="1"/>
    </xf>
    <xf numFmtId="0" fontId="100" fillId="38" borderId="33" xfId="0" applyFont="1" applyFill="1" applyBorder="1" applyAlignment="1">
      <alignment vertical="center" wrapText="1"/>
    </xf>
    <xf numFmtId="0" fontId="90" fillId="0" borderId="0" xfId="0" applyFont="1" applyAlignment="1">
      <alignment wrapText="1"/>
    </xf>
    <xf numFmtId="3" fontId="100" fillId="38" borderId="33" xfId="0" applyNumberFormat="1" applyFont="1" applyFill="1" applyBorder="1" applyAlignment="1">
      <alignment vertical="center" wrapText="1"/>
    </xf>
    <xf numFmtId="0" fontId="99" fillId="37" borderId="33" xfId="0" applyFont="1" applyFill="1" applyBorder="1" applyAlignment="1">
      <alignment vertical="center" wrapText="1"/>
    </xf>
    <xf numFmtId="0" fontId="100" fillId="0" borderId="33" xfId="0" applyFont="1" applyFill="1" applyBorder="1" applyAlignment="1">
      <alignment vertical="center" wrapText="1"/>
    </xf>
    <xf numFmtId="9" fontId="100" fillId="0" borderId="33" xfId="0" applyNumberFormat="1" applyFont="1" applyFill="1" applyBorder="1" applyAlignment="1">
      <alignment horizontal="center" vertical="center" wrapText="1"/>
    </xf>
    <xf numFmtId="0" fontId="99" fillId="39" borderId="33" xfId="0" applyFont="1" applyFill="1" applyBorder="1" applyAlignment="1">
      <alignment vertical="center" wrapText="1"/>
    </xf>
    <xf numFmtId="9" fontId="100" fillId="39" borderId="33" xfId="0" applyNumberFormat="1" applyFont="1" applyFill="1" applyBorder="1" applyAlignment="1">
      <alignment horizontal="center" vertical="center" wrapText="1"/>
    </xf>
    <xf numFmtId="0" fontId="101" fillId="0" borderId="33" xfId="0" applyFont="1" applyFill="1" applyBorder="1" applyAlignment="1">
      <alignment vertical="center" wrapText="1"/>
    </xf>
    <xf numFmtId="0" fontId="101" fillId="38" borderId="33" xfId="0" applyFont="1" applyFill="1" applyBorder="1" applyAlignment="1">
      <alignment vertical="center" wrapText="1"/>
    </xf>
    <xf numFmtId="0" fontId="92" fillId="0" borderId="0" xfId="0" applyFont="1" applyFill="1" applyAlignment="1">
      <alignment wrapText="1"/>
    </xf>
    <xf numFmtId="0" fontId="90" fillId="40" borderId="0" xfId="0" applyFont="1" applyFill="1" applyBorder="1" applyAlignment="1">
      <alignment horizontal="left" vertical="top" wrapText="1"/>
    </xf>
    <xf numFmtId="0" fontId="90" fillId="0" borderId="0" xfId="0" applyFont="1" applyBorder="1" applyAlignment="1">
      <alignment horizontal="center"/>
    </xf>
    <xf numFmtId="0" fontId="101" fillId="0" borderId="44" xfId="0" applyFont="1" applyFill="1" applyBorder="1" applyAlignment="1">
      <alignment vertical="center" wrapText="1"/>
    </xf>
    <xf numFmtId="0" fontId="92" fillId="39" borderId="45" xfId="0" applyFont="1" applyFill="1" applyBorder="1" applyAlignment="1">
      <alignment horizontal="center"/>
    </xf>
    <xf numFmtId="0" fontId="90" fillId="0" borderId="45" xfId="0" applyFont="1" applyBorder="1" applyAlignment="1">
      <alignment vertical="top" wrapText="1"/>
    </xf>
    <xf numFmtId="0" fontId="9" fillId="0" borderId="45" xfId="0" applyFont="1" applyBorder="1" applyAlignment="1">
      <alignment vertical="top" wrapText="1"/>
    </xf>
    <xf numFmtId="0" fontId="9" fillId="0" borderId="0" xfId="0" applyFont="1" applyFill="1" applyBorder="1"/>
    <xf numFmtId="194" fontId="9" fillId="0" borderId="0" xfId="0" applyNumberFormat="1" applyFont="1"/>
    <xf numFmtId="0" fontId="9" fillId="0" borderId="0" xfId="0" applyFont="1" applyFill="1" applyBorder="1" applyAlignment="1">
      <alignment horizontal="left"/>
    </xf>
    <xf numFmtId="0" fontId="0" fillId="0" borderId="0" xfId="0" applyFill="1"/>
    <xf numFmtId="193" fontId="9" fillId="0" borderId="0" xfId="0" applyNumberFormat="1" applyFont="1" applyFill="1" applyBorder="1" applyAlignment="1">
      <alignment horizontal="left"/>
    </xf>
    <xf numFmtId="2" fontId="9" fillId="0" borderId="0" xfId="0" applyNumberFormat="1" applyFont="1" applyFill="1" applyBorder="1" applyAlignment="1">
      <alignment horizontal="left"/>
    </xf>
    <xf numFmtId="0" fontId="9" fillId="0" borderId="0" xfId="0" applyNumberFormat="1" applyFont="1" applyAlignment="1">
      <alignment horizontal="center" vertical="center"/>
    </xf>
    <xf numFmtId="0" fontId="9" fillId="0" borderId="0" xfId="325" applyFont="1" applyAlignment="1">
      <alignment horizontal="center" vertical="center"/>
    </xf>
    <xf numFmtId="0" fontId="9" fillId="0" borderId="0" xfId="325" applyFont="1" applyFill="1" applyAlignment="1">
      <alignment horizontal="center" vertical="center" wrapText="1"/>
    </xf>
    <xf numFmtId="0" fontId="10" fillId="0" borderId="0" xfId="534" applyFont="1" applyFill="1" applyBorder="1" applyAlignment="1">
      <alignment horizontal="center" vertical="center"/>
    </xf>
    <xf numFmtId="0" fontId="10" fillId="36" borderId="0" xfId="534" applyFont="1" applyFill="1" applyBorder="1" applyAlignment="1">
      <alignment horizontal="center" vertical="center"/>
    </xf>
    <xf numFmtId="0" fontId="10" fillId="41" borderId="0" xfId="534" applyFont="1" applyFill="1" applyBorder="1" applyAlignment="1">
      <alignment horizontal="center" vertical="center"/>
    </xf>
    <xf numFmtId="194" fontId="9" fillId="0" borderId="0" xfId="325" applyNumberFormat="1" applyFont="1" applyFill="1" applyAlignment="1">
      <alignment horizontal="center" vertical="center" wrapText="1"/>
    </xf>
    <xf numFmtId="194" fontId="9" fillId="0" borderId="0" xfId="323" applyNumberFormat="1" applyFont="1" applyFill="1" applyBorder="1" applyAlignment="1" applyProtection="1">
      <alignment horizontal="center" vertical="center"/>
      <protection locked="0"/>
    </xf>
    <xf numFmtId="194" fontId="9" fillId="0" borderId="0" xfId="323" quotePrefix="1" applyNumberFormat="1" applyFont="1" applyFill="1" applyBorder="1" applyAlignment="1" applyProtection="1">
      <alignment horizontal="center" vertical="center"/>
      <protection locked="0"/>
    </xf>
    <xf numFmtId="194" fontId="9" fillId="0" borderId="0" xfId="325" applyNumberFormat="1" applyFont="1" applyAlignment="1">
      <alignment horizontal="center" vertical="center"/>
    </xf>
    <xf numFmtId="0" fontId="8" fillId="0" borderId="0" xfId="325" applyAlignment="1">
      <alignment horizontal="center" vertical="center"/>
    </xf>
    <xf numFmtId="0" fontId="0" fillId="0" borderId="0" xfId="0" applyAlignment="1">
      <alignment horizontal="center" vertical="center"/>
    </xf>
    <xf numFmtId="49" fontId="9" fillId="0" borderId="0" xfId="323" applyNumberFormat="1" applyFont="1" applyFill="1" applyBorder="1" applyAlignment="1" applyProtection="1">
      <alignment horizontal="center" vertical="center"/>
      <protection locked="0"/>
    </xf>
    <xf numFmtId="49" fontId="9" fillId="0" borderId="0" xfId="323" quotePrefix="1" applyNumberFormat="1" applyFont="1" applyFill="1" applyBorder="1" applyAlignment="1" applyProtection="1">
      <alignment horizontal="center" vertical="center"/>
      <protection locked="0"/>
    </xf>
    <xf numFmtId="49" fontId="9" fillId="0" borderId="0" xfId="325" applyNumberFormat="1" applyFont="1" applyFill="1" applyAlignment="1">
      <alignment horizontal="center" vertical="top" wrapText="1"/>
    </xf>
    <xf numFmtId="49" fontId="9" fillId="0" borderId="0" xfId="325" applyNumberFormat="1" applyFont="1" applyAlignment="1">
      <alignment horizontal="center"/>
    </xf>
    <xf numFmtId="194" fontId="9" fillId="0" borderId="0" xfId="325" applyNumberFormat="1" applyFont="1" applyFill="1" applyAlignment="1">
      <alignment horizontal="center" vertical="top" wrapText="1"/>
    </xf>
    <xf numFmtId="49" fontId="9" fillId="0" borderId="0" xfId="325" applyNumberFormat="1" applyFont="1" applyFill="1" applyAlignment="1">
      <alignment horizontal="center" vertical="center" wrapText="1"/>
    </xf>
    <xf numFmtId="49" fontId="9" fillId="0" borderId="0" xfId="325" applyNumberFormat="1" applyFont="1" applyAlignment="1">
      <alignment horizontal="center" vertical="center"/>
    </xf>
    <xf numFmtId="0" fontId="9" fillId="0" borderId="0" xfId="325" quotePrefix="1" applyFont="1" applyFill="1" applyAlignment="1">
      <alignment horizontal="center" vertical="center" wrapText="1"/>
    </xf>
    <xf numFmtId="49" fontId="9" fillId="0" borderId="14" xfId="323" applyNumberFormat="1" applyFont="1" applyFill="1" applyBorder="1" applyAlignment="1" applyProtection="1">
      <alignment horizontal="left" vertical="center"/>
      <protection locked="0"/>
    </xf>
    <xf numFmtId="0" fontId="9" fillId="0" borderId="14" xfId="0" applyNumberFormat="1" applyFont="1" applyFill="1" applyBorder="1" applyAlignment="1" applyProtection="1">
      <alignment horizontal="left" vertical="center"/>
      <protection locked="0"/>
    </xf>
    <xf numFmtId="181" fontId="9" fillId="0" borderId="14" xfId="0" applyNumberFormat="1" applyFont="1" applyFill="1" applyBorder="1" applyAlignment="1" applyProtection="1">
      <alignment horizontal="left" vertical="center"/>
      <protection locked="0"/>
    </xf>
    <xf numFmtId="0" fontId="9" fillId="0" borderId="0" xfId="3271" quotePrefix="1" applyFont="1" applyFill="1" applyAlignment="1">
      <alignment horizontal="center" vertical="center" wrapText="1"/>
    </xf>
    <xf numFmtId="0" fontId="9" fillId="0" borderId="14" xfId="846" applyNumberFormat="1" applyFont="1" applyFill="1" applyBorder="1" applyAlignment="1" applyProtection="1">
      <alignment horizontal="left" vertical="center"/>
      <protection locked="0"/>
    </xf>
    <xf numFmtId="49" fontId="9" fillId="0" borderId="14" xfId="0" applyNumberFormat="1" applyFont="1" applyFill="1" applyBorder="1" applyAlignment="1" applyProtection="1">
      <alignment horizontal="left" vertical="center"/>
      <protection locked="0"/>
    </xf>
    <xf numFmtId="2" fontId="9" fillId="0" borderId="14" xfId="0" applyNumberFormat="1" applyFont="1" applyFill="1" applyBorder="1" applyAlignment="1" applyProtection="1">
      <alignment horizontal="left" vertical="center"/>
      <protection locked="0"/>
    </xf>
    <xf numFmtId="49" fontId="9" fillId="0" borderId="0" xfId="325" applyNumberFormat="1" applyFont="1" applyAlignment="1">
      <alignment horizontal="center" vertical="center" wrapText="1"/>
    </xf>
    <xf numFmtId="4" fontId="9" fillId="0" borderId="0" xfId="0" applyNumberFormat="1" applyFont="1" applyBorder="1"/>
    <xf numFmtId="0" fontId="13" fillId="27" borderId="20" xfId="325" applyFont="1" applyFill="1" applyBorder="1" applyAlignment="1">
      <alignment horizontal="center" vertical="top" wrapText="1"/>
    </xf>
    <xf numFmtId="0" fontId="13" fillId="27" borderId="21" xfId="325" applyFont="1" applyFill="1" applyBorder="1" applyAlignment="1">
      <alignment horizontal="center" vertical="top" wrapText="1"/>
    </xf>
    <xf numFmtId="3" fontId="76" fillId="0" borderId="15" xfId="0" applyNumberFormat="1" applyFont="1" applyBorder="1" applyAlignment="1">
      <alignment horizontal="center"/>
    </xf>
    <xf numFmtId="3" fontId="9" fillId="0" borderId="15" xfId="0" applyNumberFormat="1" applyFont="1" applyBorder="1" applyAlignment="1">
      <alignment horizontal="center"/>
    </xf>
    <xf numFmtId="14" fontId="9" fillId="0" borderId="0" xfId="325" applyNumberFormat="1" applyFont="1" applyFill="1" applyAlignment="1">
      <alignment vertical="top" wrapText="1"/>
    </xf>
    <xf numFmtId="3" fontId="9" fillId="0" borderId="0" xfId="0" applyNumberFormat="1" applyFont="1" applyFill="1" applyBorder="1" applyAlignment="1" applyProtection="1">
      <alignment horizontal="center"/>
      <protection locked="0"/>
    </xf>
    <xf numFmtId="3" fontId="9" fillId="0" borderId="0" xfId="0" quotePrefix="1" applyNumberFormat="1" applyFont="1" applyFill="1" applyBorder="1" applyAlignment="1" applyProtection="1">
      <alignment horizontal="center"/>
      <protection locked="0"/>
    </xf>
    <xf numFmtId="3" fontId="9" fillId="0" borderId="0" xfId="325" applyNumberFormat="1" applyFont="1" applyAlignment="1">
      <alignment horizontal="center"/>
    </xf>
    <xf numFmtId="3" fontId="9" fillId="0" borderId="15" xfId="0" applyNumberFormat="1" applyFont="1" applyBorder="1" applyAlignment="1"/>
    <xf numFmtId="3" fontId="9" fillId="0" borderId="0" xfId="0" applyNumberFormat="1" applyFont="1" applyBorder="1" applyAlignment="1"/>
    <xf numFmtId="3" fontId="9" fillId="0" borderId="17" xfId="0" applyNumberFormat="1" applyFont="1" applyBorder="1" applyAlignment="1"/>
    <xf numFmtId="3" fontId="9" fillId="0" borderId="13" xfId="0" applyNumberFormat="1" applyFont="1" applyBorder="1" applyAlignment="1"/>
    <xf numFmtId="4" fontId="9" fillId="0" borderId="0" xfId="0" applyNumberFormat="1" applyFont="1" applyBorder="1" applyAlignment="1">
      <alignment horizontal="right"/>
    </xf>
    <xf numFmtId="3" fontId="9" fillId="0" borderId="15" xfId="0" applyNumberFormat="1" applyFont="1" applyBorder="1" applyAlignment="1">
      <alignment horizontal="right" vertical="center"/>
    </xf>
    <xf numFmtId="3" fontId="9" fillId="0" borderId="0" xfId="0" applyNumberFormat="1" applyFont="1" applyBorder="1" applyAlignment="1">
      <alignment horizontal="right" vertical="center"/>
    </xf>
    <xf numFmtId="4" fontId="9" fillId="0" borderId="0" xfId="0" applyNumberFormat="1" applyFont="1" applyBorder="1" applyAlignment="1">
      <alignment horizontal="right" vertical="center"/>
    </xf>
    <xf numFmtId="0" fontId="13" fillId="27" borderId="0" xfId="325" applyFont="1" applyFill="1" applyBorder="1" applyAlignment="1">
      <alignment horizontal="center" vertical="top" wrapText="1"/>
    </xf>
    <xf numFmtId="3" fontId="9" fillId="0" borderId="0" xfId="0" applyNumberFormat="1" applyFont="1" applyBorder="1"/>
    <xf numFmtId="3" fontId="10" fillId="0" borderId="0" xfId="0" applyNumberFormat="1" applyFont="1" applyBorder="1" applyAlignment="1"/>
    <xf numFmtId="0" fontId="9" fillId="25" borderId="24" xfId="0" applyFont="1" applyFill="1" applyBorder="1"/>
    <xf numFmtId="4" fontId="9" fillId="25" borderId="24" xfId="0" applyNumberFormat="1" applyFont="1" applyFill="1" applyBorder="1"/>
    <xf numFmtId="3" fontId="10" fillId="0" borderId="24" xfId="0" applyNumberFormat="1" applyFont="1" applyBorder="1" applyAlignment="1"/>
    <xf numFmtId="3" fontId="10" fillId="0" borderId="24" xfId="0" applyNumberFormat="1" applyFont="1" applyBorder="1"/>
    <xf numFmtId="3" fontId="10" fillId="0" borderId="14" xfId="0" applyNumberFormat="1" applyFont="1" applyBorder="1"/>
    <xf numFmtId="3" fontId="10" fillId="0" borderId="0" xfId="0" applyNumberFormat="1" applyFont="1" applyBorder="1"/>
    <xf numFmtId="4" fontId="10" fillId="0" borderId="0" xfId="0" applyNumberFormat="1" applyFont="1" applyBorder="1"/>
    <xf numFmtId="0" fontId="10" fillId="42" borderId="0" xfId="325" applyFont="1" applyFill="1" applyBorder="1" applyAlignment="1">
      <alignment horizontal="center" vertical="center" wrapText="1"/>
    </xf>
    <xf numFmtId="0" fontId="9" fillId="25" borderId="20" xfId="325" applyFont="1" applyFill="1" applyBorder="1" applyAlignment="1">
      <alignment vertical="top" wrapText="1"/>
    </xf>
    <xf numFmtId="0" fontId="9" fillId="25" borderId="21" xfId="325" applyFont="1" applyFill="1" applyBorder="1" applyAlignment="1">
      <alignment vertical="top" wrapText="1"/>
    </xf>
    <xf numFmtId="0" fontId="9" fillId="25" borderId="22" xfId="325" applyFont="1" applyFill="1" applyBorder="1" applyAlignment="1">
      <alignment vertical="top" wrapText="1"/>
    </xf>
    <xf numFmtId="0" fontId="9" fillId="0" borderId="0" xfId="0" applyNumberFormat="1" applyFont="1" applyBorder="1"/>
    <xf numFmtId="194" fontId="9" fillId="0" borderId="0" xfId="0" applyNumberFormat="1" applyFont="1" applyBorder="1"/>
    <xf numFmtId="3" fontId="10" fillId="0" borderId="14" xfId="0" applyNumberFormat="1" applyFont="1" applyBorder="1" applyAlignment="1"/>
    <xf numFmtId="0" fontId="9" fillId="36" borderId="15" xfId="322" quotePrefix="1" applyFont="1" applyFill="1" applyBorder="1" applyAlignment="1">
      <alignment horizontal="center"/>
    </xf>
    <xf numFmtId="0" fontId="9" fillId="36" borderId="0" xfId="322" quotePrefix="1" applyFont="1" applyFill="1" applyBorder="1"/>
    <xf numFmtId="0" fontId="9" fillId="36" borderId="0" xfId="0" applyFont="1" applyFill="1" applyBorder="1"/>
    <xf numFmtId="1" fontId="9" fillId="36" borderId="0" xfId="0" applyNumberFormat="1" applyFont="1" applyFill="1" applyBorder="1" applyAlignment="1"/>
    <xf numFmtId="3" fontId="9" fillId="36" borderId="0" xfId="0" applyNumberFormat="1" applyFont="1" applyFill="1" applyBorder="1" applyAlignment="1"/>
    <xf numFmtId="0" fontId="9" fillId="36" borderId="14" xfId="0" applyFont="1" applyFill="1" applyBorder="1"/>
    <xf numFmtId="3" fontId="9" fillId="25" borderId="0" xfId="0" applyNumberFormat="1" applyFont="1" applyFill="1" applyBorder="1" applyAlignment="1"/>
    <xf numFmtId="3" fontId="13" fillId="0" borderId="0" xfId="0" applyNumberFormat="1" applyFont="1" applyBorder="1" applyAlignment="1">
      <alignment horizontal="center"/>
    </xf>
    <xf numFmtId="3" fontId="9" fillId="0" borderId="0" xfId="0" applyNumberFormat="1" applyFont="1" applyFill="1" applyBorder="1" applyAlignment="1">
      <alignment horizontal="left"/>
    </xf>
    <xf numFmtId="3" fontId="9" fillId="0" borderId="34" xfId="0" applyNumberFormat="1" applyFont="1" applyBorder="1" applyAlignment="1"/>
    <xf numFmtId="3" fontId="9" fillId="0" borderId="35" xfId="0" applyNumberFormat="1" applyFont="1" applyBorder="1" applyAlignment="1"/>
    <xf numFmtId="3" fontId="10" fillId="0" borderId="0" xfId="325" applyNumberFormat="1" applyFont="1" applyFill="1" applyBorder="1" applyAlignment="1">
      <alignment vertical="center" wrapText="1"/>
    </xf>
    <xf numFmtId="3" fontId="9" fillId="0" borderId="0" xfId="0" applyNumberFormat="1" applyFont="1" applyFill="1" applyBorder="1" applyAlignment="1"/>
    <xf numFmtId="3" fontId="9" fillId="25" borderId="15" xfId="0" applyNumberFormat="1" applyFont="1" applyFill="1" applyBorder="1" applyAlignment="1"/>
    <xf numFmtId="3" fontId="9" fillId="25" borderId="0" xfId="0" applyNumberFormat="1" applyFont="1" applyFill="1" applyBorder="1"/>
    <xf numFmtId="3" fontId="9" fillId="0" borderId="18" xfId="0" applyNumberFormat="1" applyFont="1" applyBorder="1" applyAlignment="1"/>
    <xf numFmtId="3" fontId="9" fillId="0" borderId="16" xfId="0" applyNumberFormat="1" applyFont="1" applyBorder="1" applyAlignment="1"/>
    <xf numFmtId="3" fontId="9" fillId="0" borderId="16" xfId="0" applyNumberFormat="1" applyFont="1" applyBorder="1"/>
    <xf numFmtId="3" fontId="9" fillId="25" borderId="15" xfId="0" applyNumberFormat="1" applyFont="1" applyFill="1" applyBorder="1" applyAlignment="1">
      <alignment horizontal="center"/>
    </xf>
    <xf numFmtId="0" fontId="19" fillId="0" borderId="0" xfId="325" applyFont="1" applyFill="1" applyAlignment="1">
      <alignment horizontal="center" vertical="top"/>
    </xf>
    <xf numFmtId="49" fontId="9" fillId="0" borderId="0" xfId="325" applyNumberFormat="1" applyFont="1" applyFill="1" applyAlignment="1">
      <alignment horizontal="center"/>
    </xf>
    <xf numFmtId="10" fontId="9" fillId="0" borderId="0" xfId="325" applyNumberFormat="1" applyFont="1" applyFill="1" applyAlignment="1">
      <alignment horizontal="center" vertical="top" wrapText="1"/>
    </xf>
    <xf numFmtId="10" fontId="9" fillId="0" borderId="0" xfId="325" applyNumberFormat="1" applyFont="1" applyFill="1" applyAlignment="1">
      <alignment horizontal="center"/>
    </xf>
    <xf numFmtId="3" fontId="9" fillId="0" borderId="0" xfId="0" applyNumberFormat="1" applyFont="1" applyBorder="1" applyAlignment="1">
      <alignment horizontal="center" vertical="center"/>
    </xf>
    <xf numFmtId="3" fontId="10" fillId="0" borderId="0" xfId="0" applyNumberFormat="1" applyFont="1" applyBorder="1" applyAlignment="1">
      <alignment vertical="center"/>
    </xf>
    <xf numFmtId="4" fontId="9" fillId="0" borderId="14" xfId="0" applyNumberFormat="1" applyFont="1" applyBorder="1"/>
    <xf numFmtId="4" fontId="9" fillId="25" borderId="14" xfId="0" applyNumberFormat="1" applyFont="1" applyFill="1" applyBorder="1"/>
    <xf numFmtId="3" fontId="9" fillId="25" borderId="14" xfId="0" applyNumberFormat="1" applyFont="1" applyFill="1" applyBorder="1"/>
    <xf numFmtId="194" fontId="9" fillId="0" borderId="15" xfId="0" applyNumberFormat="1" applyFont="1" applyBorder="1" applyAlignment="1">
      <alignment horizontal="right" vertical="center"/>
    </xf>
    <xf numFmtId="194" fontId="9" fillId="0" borderId="0" xfId="0" applyNumberFormat="1" applyFont="1" applyBorder="1" applyAlignment="1">
      <alignment horizontal="right" vertical="center"/>
    </xf>
    <xf numFmtId="194" fontId="9" fillId="0" borderId="14" xfId="0" applyNumberFormat="1" applyFont="1" applyBorder="1" applyAlignment="1">
      <alignment horizontal="right" vertical="center"/>
    </xf>
    <xf numFmtId="49" fontId="9" fillId="0" borderId="15" xfId="0" applyNumberFormat="1" applyFont="1" applyBorder="1" applyAlignment="1">
      <alignment horizontal="right" vertical="center"/>
    </xf>
    <xf numFmtId="49" fontId="9" fillId="0" borderId="0" xfId="0" applyNumberFormat="1" applyFont="1" applyBorder="1" applyAlignment="1">
      <alignment horizontal="right" vertical="center"/>
    </xf>
    <xf numFmtId="49" fontId="9" fillId="0" borderId="14" xfId="0" applyNumberFormat="1" applyFont="1" applyBorder="1" applyAlignment="1">
      <alignment horizontal="right" vertical="center"/>
    </xf>
    <xf numFmtId="0" fontId="9" fillId="0" borderId="15" xfId="0" applyNumberFormat="1" applyFont="1" applyBorder="1" applyAlignment="1">
      <alignment horizontal="right" vertical="center"/>
    </xf>
    <xf numFmtId="0" fontId="9" fillId="0" borderId="0" xfId="0" applyNumberFormat="1" applyFont="1" applyBorder="1" applyAlignment="1">
      <alignment horizontal="right" vertical="center"/>
    </xf>
    <xf numFmtId="0" fontId="9" fillId="0" borderId="14" xfId="0" applyNumberFormat="1" applyFont="1" applyBorder="1" applyAlignment="1">
      <alignment horizontal="right" vertical="center"/>
    </xf>
    <xf numFmtId="3" fontId="9" fillId="0" borderId="14" xfId="0" applyNumberFormat="1" applyFont="1" applyBorder="1" applyAlignment="1">
      <alignment horizontal="right" vertical="center"/>
    </xf>
    <xf numFmtId="4" fontId="9" fillId="0" borderId="15" xfId="0" applyNumberFormat="1" applyFont="1" applyBorder="1" applyAlignment="1">
      <alignment horizontal="right" vertical="center"/>
    </xf>
    <xf numFmtId="4" fontId="9" fillId="0" borderId="14" xfId="0" applyNumberFormat="1" applyFont="1" applyBorder="1" applyAlignment="1">
      <alignment horizontal="right" vertical="center"/>
    </xf>
    <xf numFmtId="4" fontId="9" fillId="0" borderId="15" xfId="0" applyNumberFormat="1" applyFont="1" applyBorder="1" applyAlignment="1">
      <alignment horizontal="right"/>
    </xf>
    <xf numFmtId="4" fontId="9" fillId="0" borderId="14" xfId="0" applyNumberFormat="1" applyFont="1" applyBorder="1" applyAlignment="1">
      <alignment horizontal="right"/>
    </xf>
    <xf numFmtId="4" fontId="9" fillId="0" borderId="14" xfId="0" applyNumberFormat="1" applyFont="1" applyBorder="1" applyAlignment="1">
      <alignment horizontal="center"/>
    </xf>
    <xf numFmtId="3" fontId="9" fillId="0" borderId="14" xfId="0" applyNumberFormat="1" applyFont="1" applyBorder="1" applyAlignment="1">
      <alignment horizontal="center"/>
    </xf>
    <xf numFmtId="3" fontId="9" fillId="0" borderId="14" xfId="0" applyNumberFormat="1" applyFont="1" applyBorder="1" applyAlignment="1"/>
    <xf numFmtId="3" fontId="9" fillId="0" borderId="14" xfId="0" applyNumberFormat="1" applyFont="1" applyBorder="1"/>
    <xf numFmtId="0" fontId="9" fillId="0" borderId="15" xfId="0" applyFont="1" applyBorder="1"/>
    <xf numFmtId="3" fontId="9" fillId="0" borderId="19" xfId="0" applyNumberFormat="1" applyFont="1" applyBorder="1"/>
    <xf numFmtId="3" fontId="9" fillId="0" borderId="46" xfId="0" applyNumberFormat="1" applyFont="1" applyBorder="1" applyAlignment="1"/>
    <xf numFmtId="3" fontId="9" fillId="25" borderId="0" xfId="0" applyNumberFormat="1" applyFont="1" applyFill="1" applyBorder="1" applyAlignment="1">
      <alignment horizontal="center"/>
    </xf>
    <xf numFmtId="3" fontId="9" fillId="25" borderId="0" xfId="0" applyNumberFormat="1" applyFont="1" applyFill="1" applyBorder="1" applyAlignment="1">
      <alignment wrapText="1"/>
    </xf>
    <xf numFmtId="0" fontId="9" fillId="0" borderId="0" xfId="0" applyFont="1" applyBorder="1" applyAlignment="1">
      <alignment horizontal="center"/>
    </xf>
    <xf numFmtId="0" fontId="0" fillId="0" borderId="19" xfId="0" applyBorder="1"/>
    <xf numFmtId="0" fontId="9" fillId="0" borderId="30" xfId="325" applyFont="1" applyFill="1" applyBorder="1" applyAlignment="1">
      <alignment vertical="top" wrapText="1"/>
    </xf>
    <xf numFmtId="0" fontId="9" fillId="0" borderId="24" xfId="325" applyFont="1" applyFill="1" applyBorder="1" applyAlignment="1">
      <alignment vertical="top" wrapText="1"/>
    </xf>
    <xf numFmtId="0" fontId="25" fillId="0" borderId="24" xfId="0" applyFont="1" applyFill="1" applyBorder="1"/>
    <xf numFmtId="0" fontId="10" fillId="0" borderId="24" xfId="322" applyFont="1" applyBorder="1"/>
    <xf numFmtId="0" fontId="14" fillId="0" borderId="24" xfId="0" applyFont="1" applyFill="1" applyBorder="1"/>
    <xf numFmtId="0" fontId="23" fillId="0" borderId="24" xfId="0" applyFont="1" applyFill="1" applyBorder="1"/>
    <xf numFmtId="0" fontId="10" fillId="0" borderId="24" xfId="322" applyFont="1" applyBorder="1" applyAlignment="1">
      <alignment horizontal="left"/>
    </xf>
    <xf numFmtId="0" fontId="78" fillId="0" borderId="24" xfId="322" applyFont="1" applyBorder="1"/>
    <xf numFmtId="0" fontId="24" fillId="0" borderId="24" xfId="0" applyFont="1" applyBorder="1" applyAlignment="1">
      <alignment horizontal="center"/>
    </xf>
    <xf numFmtId="0" fontId="9" fillId="0" borderId="24" xfId="0" applyFont="1" applyBorder="1"/>
    <xf numFmtId="0" fontId="77" fillId="0" borderId="24" xfId="0" applyFont="1" applyFill="1" applyBorder="1"/>
    <xf numFmtId="0" fontId="24" fillId="0" borderId="24" xfId="322" applyFont="1" applyBorder="1" applyAlignment="1">
      <alignment horizontal="center"/>
    </xf>
    <xf numFmtId="0" fontId="9" fillId="0" borderId="24" xfId="322" applyFont="1" applyBorder="1"/>
    <xf numFmtId="0" fontId="15" fillId="0" borderId="24" xfId="0" applyFont="1" applyBorder="1" applyAlignment="1">
      <alignment horizontal="center"/>
    </xf>
    <xf numFmtId="0" fontId="10" fillId="0" borderId="24" xfId="322" applyFont="1" applyFill="1" applyBorder="1" applyAlignment="1">
      <alignment horizontal="left"/>
    </xf>
    <xf numFmtId="0" fontId="10" fillId="0" borderId="15" xfId="0" applyFont="1" applyBorder="1"/>
    <xf numFmtId="0" fontId="13" fillId="42" borderId="21" xfId="325" applyFont="1" applyFill="1" applyBorder="1" applyAlignment="1">
      <alignment horizontal="center" vertical="top" wrapText="1"/>
    </xf>
    <xf numFmtId="0" fontId="13" fillId="42" borderId="0" xfId="325" applyFont="1" applyFill="1" applyBorder="1" applyAlignment="1">
      <alignment horizontal="center" vertical="top" wrapText="1"/>
    </xf>
    <xf numFmtId="0" fontId="9" fillId="43" borderId="0" xfId="0" applyFont="1" applyFill="1" applyBorder="1"/>
    <xf numFmtId="194" fontId="9" fillId="42" borderId="0" xfId="0" applyNumberFormat="1" applyFont="1" applyFill="1" applyBorder="1" applyAlignment="1">
      <alignment horizontal="right" vertical="center"/>
    </xf>
    <xf numFmtId="49" fontId="9" fillId="42" borderId="0" xfId="0" applyNumberFormat="1" applyFont="1" applyFill="1" applyBorder="1" applyAlignment="1">
      <alignment horizontal="right" vertical="center"/>
    </xf>
    <xf numFmtId="0" fontId="9" fillId="42" borderId="0" xfId="0" applyNumberFormat="1" applyFont="1" applyFill="1" applyBorder="1" applyAlignment="1">
      <alignment horizontal="right" vertical="center"/>
    </xf>
    <xf numFmtId="3" fontId="9" fillId="42" borderId="0" xfId="0" applyNumberFormat="1" applyFont="1" applyFill="1" applyBorder="1" applyAlignment="1">
      <alignment horizontal="right" vertical="center"/>
    </xf>
    <xf numFmtId="4" fontId="9" fillId="42" borderId="0" xfId="0" applyNumberFormat="1" applyFont="1" applyFill="1" applyBorder="1" applyAlignment="1">
      <alignment horizontal="right" vertical="center"/>
    </xf>
    <xf numFmtId="4" fontId="9" fillId="42" borderId="0" xfId="0" applyNumberFormat="1" applyFont="1" applyFill="1" applyBorder="1" applyAlignment="1">
      <alignment horizontal="right"/>
    </xf>
    <xf numFmtId="4" fontId="9" fillId="42" borderId="0" xfId="0" applyNumberFormat="1" applyFont="1" applyFill="1" applyBorder="1" applyAlignment="1">
      <alignment horizontal="center"/>
    </xf>
    <xf numFmtId="3" fontId="9" fillId="42" borderId="0" xfId="0" applyNumberFormat="1" applyFont="1" applyFill="1" applyBorder="1" applyAlignment="1">
      <alignment horizontal="center"/>
    </xf>
    <xf numFmtId="4" fontId="9" fillId="42" borderId="0" xfId="0" applyNumberFormat="1" applyFont="1" applyFill="1" applyBorder="1"/>
    <xf numFmtId="4" fontId="9" fillId="43" borderId="0" xfId="0" applyNumberFormat="1" applyFont="1" applyFill="1" applyBorder="1"/>
    <xf numFmtId="3" fontId="9" fillId="42" borderId="0" xfId="0" applyNumberFormat="1" applyFont="1" applyFill="1" applyBorder="1" applyAlignment="1"/>
    <xf numFmtId="3" fontId="9" fillId="42" borderId="0" xfId="0" applyNumberFormat="1" applyFont="1" applyFill="1" applyBorder="1"/>
    <xf numFmtId="3" fontId="9" fillId="42" borderId="35" xfId="0" applyNumberFormat="1" applyFont="1" applyFill="1" applyBorder="1" applyAlignment="1"/>
    <xf numFmtId="3" fontId="9" fillId="43" borderId="0" xfId="0" applyNumberFormat="1" applyFont="1" applyFill="1" applyBorder="1"/>
    <xf numFmtId="3" fontId="9" fillId="42" borderId="16" xfId="0" applyNumberFormat="1" applyFont="1" applyFill="1" applyBorder="1"/>
    <xf numFmtId="3" fontId="9" fillId="42" borderId="13" xfId="0" applyNumberFormat="1" applyFont="1" applyFill="1" applyBorder="1" applyAlignment="1"/>
    <xf numFmtId="4" fontId="9" fillId="42" borderId="0" xfId="0" applyNumberFormat="1" applyFont="1" applyFill="1" applyBorder="1" applyAlignment="1"/>
    <xf numFmtId="0" fontId="10" fillId="0" borderId="15" xfId="322" applyFont="1" applyBorder="1"/>
    <xf numFmtId="3" fontId="9" fillId="42" borderId="0" xfId="0" applyNumberFormat="1" applyFont="1" applyFill="1" applyBorder="1" applyAlignment="1">
      <alignment horizontal="center" vertical="center"/>
    </xf>
    <xf numFmtId="4" fontId="9" fillId="36" borderId="0" xfId="0" applyNumberFormat="1" applyFont="1" applyFill="1" applyBorder="1" applyAlignment="1"/>
    <xf numFmtId="4" fontId="9" fillId="36" borderId="14" xfId="0" applyNumberFormat="1" applyFont="1" applyFill="1" applyBorder="1" applyAlignment="1"/>
    <xf numFmtId="0" fontId="19" fillId="0" borderId="0" xfId="325" applyFont="1" applyFill="1" applyAlignment="1">
      <alignment horizontal="center" vertical="top"/>
    </xf>
    <xf numFmtId="0" fontId="24" fillId="0" borderId="15" xfId="0" applyFont="1" applyBorder="1" applyAlignment="1">
      <alignment horizontal="center"/>
    </xf>
    <xf numFmtId="0" fontId="10" fillId="0" borderId="15" xfId="322" applyFont="1" applyBorder="1" applyAlignment="1">
      <alignment horizontal="left"/>
    </xf>
    <xf numFmtId="3" fontId="9" fillId="0" borderId="0" xfId="0" applyNumberFormat="1" applyFont="1"/>
    <xf numFmtId="3" fontId="9" fillId="0" borderId="0" xfId="0" applyNumberFormat="1" applyFont="1" applyFill="1" applyBorder="1"/>
    <xf numFmtId="0" fontId="10" fillId="0" borderId="15" xfId="322" applyFont="1" applyFill="1" applyBorder="1" applyAlignment="1">
      <alignment horizontal="left"/>
    </xf>
    <xf numFmtId="3" fontId="0" fillId="0" borderId="0" xfId="0" applyNumberFormat="1"/>
    <xf numFmtId="3" fontId="9" fillId="0" borderId="0" xfId="322" quotePrefix="1" applyNumberFormat="1" applyFont="1" applyBorder="1"/>
    <xf numFmtId="0" fontId="10" fillId="0" borderId="15" xfId="0" applyFont="1" applyBorder="1" applyAlignment="1"/>
    <xf numFmtId="49" fontId="10" fillId="0" borderId="15" xfId="323" applyNumberFormat="1" applyFont="1" applyFill="1" applyBorder="1" applyAlignment="1" applyProtection="1">
      <alignment horizontal="left"/>
      <protection locked="0"/>
    </xf>
    <xf numFmtId="49" fontId="10" fillId="0" borderId="15" xfId="324" quotePrefix="1" applyNumberFormat="1" applyFont="1" applyFill="1" applyBorder="1" applyAlignment="1" applyProtection="1">
      <alignment horizontal="left"/>
      <protection locked="0"/>
    </xf>
    <xf numFmtId="4" fontId="76" fillId="0" borderId="0" xfId="0" applyNumberFormat="1" applyFont="1" applyBorder="1" applyAlignment="1">
      <alignment horizontal="center"/>
    </xf>
    <xf numFmtId="3" fontId="76" fillId="0" borderId="0" xfId="0" applyNumberFormat="1" applyFont="1" applyBorder="1" applyAlignment="1">
      <alignment horizontal="center"/>
    </xf>
    <xf numFmtId="194" fontId="9" fillId="0" borderId="21" xfId="0" applyNumberFormat="1" applyFont="1" applyBorder="1" applyAlignment="1">
      <alignment horizontal="right" vertical="center"/>
    </xf>
    <xf numFmtId="0" fontId="10" fillId="42" borderId="15" xfId="322" applyFont="1" applyFill="1" applyBorder="1"/>
    <xf numFmtId="3" fontId="10" fillId="42" borderId="14" xfId="0" applyNumberFormat="1" applyFont="1" applyFill="1" applyBorder="1" applyAlignment="1"/>
    <xf numFmtId="0" fontId="10" fillId="42" borderId="15" xfId="322" applyFont="1" applyFill="1" applyBorder="1" applyAlignment="1">
      <alignment horizontal="left"/>
    </xf>
    <xf numFmtId="14" fontId="9" fillId="0" borderId="0" xfId="0" applyNumberFormat="1" applyFont="1" applyBorder="1" applyAlignment="1"/>
    <xf numFmtId="0" fontId="9" fillId="0" borderId="0" xfId="0" applyFont="1" applyAlignment="1">
      <alignment horizontal="right"/>
    </xf>
    <xf numFmtId="0" fontId="9" fillId="0" borderId="0" xfId="846" quotePrefix="1" applyFont="1"/>
    <xf numFmtId="17" fontId="9" fillId="0" borderId="0" xfId="846" applyNumberFormat="1" applyFont="1" applyAlignment="1">
      <alignment horizontal="center" vertical="center"/>
    </xf>
    <xf numFmtId="0" fontId="9" fillId="0" borderId="0" xfId="0" applyFont="1" applyAlignment="1">
      <alignment horizontal="center" vertical="center"/>
    </xf>
    <xf numFmtId="14" fontId="8" fillId="0" borderId="15" xfId="325" applyNumberFormat="1" applyBorder="1"/>
    <xf numFmtId="3" fontId="8" fillId="0" borderId="0" xfId="325" applyNumberFormat="1"/>
    <xf numFmtId="0" fontId="8" fillId="0" borderId="15" xfId="325" applyNumberFormat="1" applyBorder="1"/>
    <xf numFmtId="0" fontId="10" fillId="0" borderId="0" xfId="322" applyFont="1" applyBorder="1"/>
    <xf numFmtId="14" fontId="8" fillId="0" borderId="0" xfId="325" applyNumberFormat="1"/>
    <xf numFmtId="0" fontId="8" fillId="0" borderId="0" xfId="325" applyNumberFormat="1"/>
    <xf numFmtId="0" fontId="9" fillId="0" borderId="0" xfId="0" applyFont="1" applyFill="1" applyBorder="1" applyAlignment="1">
      <alignment horizontal="center"/>
    </xf>
    <xf numFmtId="4" fontId="10" fillId="0" borderId="14" xfId="0" applyNumberFormat="1" applyFont="1" applyBorder="1"/>
    <xf numFmtId="2" fontId="9" fillId="0" borderId="14" xfId="0" applyNumberFormat="1" applyFont="1" applyFill="1" applyBorder="1" applyAlignment="1">
      <alignment horizontal="left"/>
    </xf>
    <xf numFmtId="195" fontId="9" fillId="0" borderId="0" xfId="0" applyNumberFormat="1" applyFont="1" applyBorder="1"/>
    <xf numFmtId="3" fontId="10" fillId="0" borderId="0" xfId="0" applyNumberFormat="1" applyFont="1" applyBorder="1" applyAlignment="1">
      <alignment horizontal="center" vertical="center"/>
    </xf>
    <xf numFmtId="0" fontId="6" fillId="0" borderId="0" xfId="0" applyFont="1" applyAlignment="1">
      <alignment horizontal="center"/>
    </xf>
    <xf numFmtId="3" fontId="9" fillId="36" borderId="0" xfId="0" applyNumberFormat="1" applyFont="1" applyFill="1"/>
    <xf numFmtId="0" fontId="10" fillId="44" borderId="0" xfId="534" applyFont="1" applyFill="1" applyBorder="1" applyAlignment="1">
      <alignment horizontal="center" vertical="center"/>
    </xf>
    <xf numFmtId="0" fontId="10" fillId="36" borderId="15" xfId="0" applyFont="1" applyFill="1" applyBorder="1"/>
    <xf numFmtId="194" fontId="9" fillId="36" borderId="0" xfId="0" applyNumberFormat="1" applyFont="1" applyFill="1" applyBorder="1" applyAlignment="1">
      <alignment horizontal="right" vertical="center"/>
    </xf>
    <xf numFmtId="4" fontId="9" fillId="36" borderId="0" xfId="0" applyNumberFormat="1" applyFont="1" applyFill="1" applyBorder="1" applyAlignment="1">
      <alignment horizontal="right" vertical="center"/>
    </xf>
    <xf numFmtId="4" fontId="9" fillId="36" borderId="0" xfId="0" applyNumberFormat="1" applyFont="1" applyFill="1" applyBorder="1" applyAlignment="1">
      <alignment horizontal="right"/>
    </xf>
    <xf numFmtId="194" fontId="9" fillId="36" borderId="14" xfId="0" applyNumberFormat="1" applyFont="1" applyFill="1" applyBorder="1" applyAlignment="1">
      <alignment horizontal="right" vertical="center"/>
    </xf>
    <xf numFmtId="4" fontId="9" fillId="36" borderId="14" xfId="0" applyNumberFormat="1" applyFont="1" applyFill="1" applyBorder="1" applyAlignment="1">
      <alignment horizontal="right" vertical="center"/>
    </xf>
    <xf numFmtId="0" fontId="10" fillId="36" borderId="15" xfId="322" applyFont="1" applyFill="1" applyBorder="1"/>
    <xf numFmtId="0" fontId="10" fillId="36" borderId="15" xfId="322" applyFont="1" applyFill="1" applyBorder="1" applyAlignment="1">
      <alignment horizontal="left"/>
    </xf>
    <xf numFmtId="0" fontId="10" fillId="36" borderId="24" xfId="322" applyFont="1" applyFill="1" applyBorder="1" applyAlignment="1">
      <alignment horizontal="left"/>
    </xf>
    <xf numFmtId="4" fontId="9" fillId="36" borderId="14" xfId="0" applyNumberFormat="1" applyFont="1" applyFill="1" applyBorder="1" applyAlignment="1">
      <alignment horizontal="right"/>
    </xf>
    <xf numFmtId="3" fontId="9" fillId="0" borderId="47" xfId="0" applyNumberFormat="1" applyFont="1" applyBorder="1" applyAlignment="1"/>
    <xf numFmtId="3" fontId="9" fillId="0" borderId="48" xfId="0" applyNumberFormat="1" applyFont="1" applyBorder="1" applyAlignment="1"/>
    <xf numFmtId="3" fontId="9" fillId="36" borderId="14" xfId="0" applyNumberFormat="1" applyFont="1" applyFill="1" applyBorder="1" applyAlignment="1"/>
    <xf numFmtId="3" fontId="10" fillId="36" borderId="14" xfId="0" applyNumberFormat="1" applyFont="1" applyFill="1" applyBorder="1"/>
    <xf numFmtId="4" fontId="10" fillId="36" borderId="14" xfId="0" applyNumberFormat="1" applyFont="1" applyFill="1" applyBorder="1"/>
    <xf numFmtId="0" fontId="10" fillId="36" borderId="0" xfId="0" applyFont="1" applyFill="1"/>
    <xf numFmtId="0" fontId="10" fillId="42" borderId="0" xfId="0" applyFont="1" applyFill="1" applyAlignment="1">
      <alignment wrapText="1"/>
    </xf>
    <xf numFmtId="3" fontId="9" fillId="42" borderId="0" xfId="0" applyNumberFormat="1" applyFont="1" applyFill="1"/>
    <xf numFmtId="3" fontId="9" fillId="42" borderId="14" xfId="0" applyNumberFormat="1" applyFont="1" applyFill="1" applyBorder="1"/>
    <xf numFmtId="3" fontId="10" fillId="42" borderId="14" xfId="0" applyNumberFormat="1" applyFont="1" applyFill="1" applyBorder="1"/>
    <xf numFmtId="0" fontId="10" fillId="42" borderId="0" xfId="0" applyFont="1" applyFill="1"/>
    <xf numFmtId="0" fontId="10" fillId="42" borderId="24" xfId="322" applyFont="1" applyFill="1" applyBorder="1"/>
    <xf numFmtId="4" fontId="9" fillId="42" borderId="0" xfId="0" applyNumberFormat="1" applyFont="1" applyFill="1"/>
    <xf numFmtId="4" fontId="9" fillId="42" borderId="14" xfId="0" applyNumberFormat="1" applyFont="1" applyFill="1" applyBorder="1"/>
    <xf numFmtId="4" fontId="10" fillId="42" borderId="14" xfId="0" applyNumberFormat="1" applyFont="1" applyFill="1" applyBorder="1"/>
    <xf numFmtId="3" fontId="9" fillId="42" borderId="15" xfId="0" applyNumberFormat="1" applyFont="1" applyFill="1" applyBorder="1" applyAlignment="1"/>
    <xf numFmtId="3" fontId="9" fillId="42" borderId="14" xfId="0" applyNumberFormat="1" applyFont="1" applyFill="1" applyBorder="1" applyAlignment="1"/>
    <xf numFmtId="3" fontId="10" fillId="42" borderId="0" xfId="0" applyNumberFormat="1" applyFont="1" applyFill="1" applyBorder="1" applyAlignment="1">
      <alignment vertical="center"/>
    </xf>
    <xf numFmtId="3" fontId="10" fillId="42" borderId="24" xfId="0" applyNumberFormat="1" applyFont="1" applyFill="1" applyBorder="1" applyAlignment="1"/>
    <xf numFmtId="0" fontId="9" fillId="42" borderId="15" xfId="322" quotePrefix="1" applyFont="1" applyFill="1" applyBorder="1" applyAlignment="1">
      <alignment horizontal="center"/>
    </xf>
    <xf numFmtId="193" fontId="9" fillId="42" borderId="0" xfId="0" applyNumberFormat="1" applyFont="1" applyFill="1" applyBorder="1" applyAlignment="1">
      <alignment horizontal="left"/>
    </xf>
    <xf numFmtId="0" fontId="9" fillId="42" borderId="0" xfId="0" applyFont="1" applyFill="1" applyBorder="1" applyAlignment="1">
      <alignment horizontal="left"/>
    </xf>
    <xf numFmtId="2" fontId="9" fillId="42" borderId="14" xfId="0" applyNumberFormat="1" applyFont="1" applyFill="1" applyBorder="1" applyAlignment="1">
      <alignment horizontal="left"/>
    </xf>
    <xf numFmtId="0" fontId="9" fillId="42" borderId="0" xfId="322" quotePrefix="1" applyFont="1" applyFill="1" applyBorder="1"/>
    <xf numFmtId="0" fontId="6" fillId="42" borderId="0" xfId="0" applyFont="1" applyFill="1" applyAlignment="1">
      <alignment horizontal="center"/>
    </xf>
    <xf numFmtId="0" fontId="6" fillId="42" borderId="0" xfId="0" applyFont="1" applyFill="1"/>
    <xf numFmtId="0" fontId="0" fillId="42" borderId="0" xfId="0" applyFill="1"/>
    <xf numFmtId="3" fontId="10" fillId="42" borderId="0" xfId="0" applyNumberFormat="1" applyFont="1" applyFill="1" applyBorder="1" applyAlignment="1"/>
    <xf numFmtId="0" fontId="9" fillId="0" borderId="15" xfId="322" quotePrefix="1" applyFont="1" applyFill="1" applyBorder="1" applyAlignment="1">
      <alignment horizontal="center"/>
    </xf>
    <xf numFmtId="0" fontId="9" fillId="0" borderId="0" xfId="0" applyNumberFormat="1" applyFont="1" applyFill="1" applyBorder="1"/>
    <xf numFmtId="194" fontId="9" fillId="0" borderId="0" xfId="0" applyNumberFormat="1" applyFont="1" applyFill="1"/>
    <xf numFmtId="194" fontId="9" fillId="0" borderId="0" xfId="0" applyNumberFormat="1" applyFont="1" applyFill="1" applyBorder="1"/>
    <xf numFmtId="0" fontId="10" fillId="42" borderId="0" xfId="322" applyFont="1" applyFill="1" applyBorder="1"/>
    <xf numFmtId="0" fontId="78" fillId="0" borderId="15" xfId="322" applyFont="1" applyBorder="1"/>
    <xf numFmtId="0" fontId="13" fillId="41" borderId="21" xfId="325" applyFont="1" applyFill="1" applyBorder="1" applyAlignment="1">
      <alignment horizontal="center" vertical="top" wrapText="1"/>
    </xf>
    <xf numFmtId="0" fontId="13" fillId="41" borderId="0" xfId="325" applyFont="1" applyFill="1" applyBorder="1" applyAlignment="1">
      <alignment horizontal="center" vertical="top" wrapText="1"/>
    </xf>
    <xf numFmtId="0" fontId="10" fillId="42" borderId="15" xfId="0" applyFont="1" applyFill="1" applyBorder="1"/>
    <xf numFmtId="4" fontId="9" fillId="42" borderId="14" xfId="0" applyNumberFormat="1" applyFont="1" applyFill="1" applyBorder="1" applyAlignment="1">
      <alignment horizontal="right" vertical="center"/>
    </xf>
    <xf numFmtId="194" fontId="9" fillId="42" borderId="14" xfId="0" applyNumberFormat="1" applyFont="1" applyFill="1" applyBorder="1" applyAlignment="1">
      <alignment horizontal="right" vertical="center"/>
    </xf>
    <xf numFmtId="4" fontId="9" fillId="42" borderId="14" xfId="0" applyNumberFormat="1" applyFont="1" applyFill="1" applyBorder="1" applyAlignment="1">
      <alignment horizontal="right"/>
    </xf>
    <xf numFmtId="0" fontId="10" fillId="0" borderId="15" xfId="322" applyFont="1" applyFill="1" applyBorder="1"/>
    <xf numFmtId="3" fontId="9" fillId="0" borderId="0" xfId="0" applyNumberFormat="1" applyFont="1" applyFill="1"/>
    <xf numFmtId="3" fontId="10" fillId="0" borderId="0" xfId="0" applyNumberFormat="1" applyFont="1" applyFill="1" applyBorder="1"/>
    <xf numFmtId="0" fontId="10" fillId="42" borderId="24" xfId="322" applyFont="1" applyFill="1" applyBorder="1" applyAlignment="1">
      <alignment horizontal="left"/>
    </xf>
    <xf numFmtId="4" fontId="9" fillId="42" borderId="14" xfId="0" applyNumberFormat="1" applyFont="1" applyFill="1" applyBorder="1" applyAlignment="1"/>
    <xf numFmtId="3" fontId="9" fillId="0" borderId="49" xfId="0" applyNumberFormat="1" applyFont="1" applyBorder="1" applyAlignment="1"/>
    <xf numFmtId="194" fontId="9" fillId="0" borderId="50" xfId="0" applyNumberFormat="1" applyFont="1" applyBorder="1" applyAlignment="1">
      <alignment horizontal="right" vertical="center"/>
    </xf>
    <xf numFmtId="3" fontId="10" fillId="0" borderId="14" xfId="0" applyNumberFormat="1" applyFont="1" applyFill="1" applyBorder="1" applyAlignment="1"/>
    <xf numFmtId="3" fontId="9" fillId="0" borderId="0" xfId="0" applyNumberFormat="1" applyFont="1" applyFill="1" applyBorder="1" applyAlignment="1">
      <alignment horizontal="center" vertical="center"/>
    </xf>
    <xf numFmtId="3" fontId="9" fillId="0" borderId="0" xfId="325" applyNumberFormat="1" applyFont="1" applyFill="1" applyAlignment="1">
      <alignment vertical="top" wrapText="1"/>
    </xf>
    <xf numFmtId="0" fontId="9" fillId="42" borderId="0" xfId="0" applyNumberFormat="1" applyFont="1" applyFill="1" applyBorder="1"/>
    <xf numFmtId="194" fontId="9" fillId="42" borderId="0" xfId="0" applyNumberFormat="1" applyFont="1" applyFill="1"/>
    <xf numFmtId="3" fontId="10" fillId="42" borderId="0" xfId="0" applyNumberFormat="1" applyFont="1" applyFill="1" applyBorder="1"/>
    <xf numFmtId="4" fontId="10" fillId="42" borderId="0" xfId="0" applyNumberFormat="1" applyFont="1" applyFill="1" applyBorder="1"/>
    <xf numFmtId="0" fontId="9" fillId="0" borderId="0" xfId="325" applyFont="1" applyFill="1" applyBorder="1" applyAlignment="1">
      <alignment horizontal="right" vertical="top" wrapText="1"/>
    </xf>
    <xf numFmtId="0" fontId="9" fillId="0" borderId="14" xfId="325" applyFont="1" applyFill="1" applyBorder="1" applyAlignment="1">
      <alignment horizontal="right" vertical="top" wrapText="1"/>
    </xf>
    <xf numFmtId="195" fontId="9" fillId="0" borderId="0" xfId="0" applyNumberFormat="1" applyFont="1" applyBorder="1" applyAlignment="1">
      <alignment horizontal="right"/>
    </xf>
    <xf numFmtId="195" fontId="9" fillId="0" borderId="0" xfId="325" applyNumberFormat="1" applyFont="1" applyFill="1" applyBorder="1" applyAlignment="1">
      <alignment horizontal="right" vertical="top" wrapText="1"/>
    </xf>
    <xf numFmtId="10" fontId="9" fillId="42" borderId="0" xfId="12062" applyNumberFormat="1" applyFont="1" applyFill="1" applyAlignment="1"/>
    <xf numFmtId="196" fontId="9" fillId="42" borderId="0" xfId="0" applyNumberFormat="1" applyFont="1" applyFill="1"/>
    <xf numFmtId="2" fontId="9" fillId="0" borderId="0" xfId="325" applyNumberFormat="1" applyFont="1" applyFill="1" applyBorder="1" applyAlignment="1">
      <alignment horizontal="right" vertical="top" wrapText="1"/>
    </xf>
    <xf numFmtId="2" fontId="9" fillId="0" borderId="14" xfId="325" applyNumberFormat="1" applyFont="1" applyFill="1" applyBorder="1" applyAlignment="1">
      <alignment horizontal="right" vertical="top" wrapText="1"/>
    </xf>
    <xf numFmtId="3" fontId="10" fillId="0" borderId="14" xfId="0" applyNumberFormat="1" applyFont="1" applyFill="1" applyBorder="1"/>
    <xf numFmtId="196" fontId="10" fillId="42" borderId="14" xfId="0" applyNumberFormat="1" applyFont="1" applyFill="1" applyBorder="1"/>
    <xf numFmtId="4" fontId="10" fillId="0" borderId="14" xfId="0" applyNumberFormat="1" applyFont="1" applyFill="1" applyBorder="1"/>
    <xf numFmtId="4" fontId="9" fillId="0" borderId="0" xfId="325" applyNumberFormat="1" applyFont="1" applyFill="1" applyBorder="1" applyAlignment="1">
      <alignment horizontal="right" vertical="top" wrapText="1"/>
    </xf>
    <xf numFmtId="196" fontId="9" fillId="42" borderId="14" xfId="0" applyNumberFormat="1" applyFont="1" applyFill="1" applyBorder="1"/>
    <xf numFmtId="10" fontId="10" fillId="42" borderId="14" xfId="12062" applyNumberFormat="1" applyFont="1" applyFill="1" applyBorder="1" applyAlignment="1"/>
    <xf numFmtId="196" fontId="9" fillId="42" borderId="0" xfId="0" applyNumberFormat="1" applyFont="1" applyFill="1" applyBorder="1" applyAlignment="1"/>
    <xf numFmtId="196" fontId="9" fillId="42" borderId="14" xfId="0" applyNumberFormat="1" applyFont="1" applyFill="1" applyBorder="1" applyAlignment="1"/>
    <xf numFmtId="196" fontId="9" fillId="0" borderId="0" xfId="0" applyNumberFormat="1" applyFont="1" applyFill="1" applyBorder="1" applyAlignment="1"/>
    <xf numFmtId="196" fontId="9" fillId="0" borderId="14" xfId="0" applyNumberFormat="1" applyFont="1" applyFill="1" applyBorder="1" applyAlignment="1"/>
    <xf numFmtId="196" fontId="10" fillId="0" borderId="14" xfId="0" applyNumberFormat="1" applyFont="1" applyFill="1" applyBorder="1"/>
    <xf numFmtId="3" fontId="9" fillId="0" borderId="14" xfId="0" applyNumberFormat="1" applyFont="1" applyFill="1" applyBorder="1"/>
    <xf numFmtId="1" fontId="9" fillId="0" borderId="0" xfId="0" applyNumberFormat="1" applyFont="1" applyFill="1" applyBorder="1" applyAlignment="1"/>
    <xf numFmtId="4" fontId="9" fillId="0" borderId="0" xfId="0" applyNumberFormat="1" applyFont="1" applyFill="1" applyBorder="1" applyAlignment="1"/>
    <xf numFmtId="4" fontId="9" fillId="0" borderId="14" xfId="0" applyNumberFormat="1" applyFont="1" applyFill="1" applyBorder="1" applyAlignment="1"/>
    <xf numFmtId="2" fontId="9" fillId="0" borderId="0" xfId="0" applyNumberFormat="1" applyFont="1" applyBorder="1" applyAlignment="1">
      <alignment horizontal="center"/>
    </xf>
    <xf numFmtId="2" fontId="9" fillId="0" borderId="0" xfId="325" applyNumberFormat="1" applyFont="1" applyFill="1" applyBorder="1" applyAlignment="1">
      <alignment horizontal="center" vertical="top" wrapText="1"/>
    </xf>
    <xf numFmtId="2" fontId="9" fillId="42" borderId="0" xfId="325" applyNumberFormat="1" applyFont="1" applyFill="1" applyBorder="1" applyAlignment="1">
      <alignment horizontal="center" vertical="top" wrapText="1"/>
    </xf>
    <xf numFmtId="2" fontId="9" fillId="0" borderId="14" xfId="325" applyNumberFormat="1" applyFont="1" applyFill="1" applyBorder="1" applyAlignment="1">
      <alignment horizontal="center" vertical="top" wrapText="1"/>
    </xf>
    <xf numFmtId="195" fontId="9" fillId="0" borderId="0" xfId="0" applyNumberFormat="1" applyFont="1"/>
    <xf numFmtId="2" fontId="10" fillId="0" borderId="14" xfId="0" applyNumberFormat="1" applyFont="1" applyBorder="1"/>
    <xf numFmtId="196" fontId="9" fillId="0" borderId="0" xfId="0" applyNumberFormat="1" applyFont="1"/>
    <xf numFmtId="2" fontId="10" fillId="0" borderId="14" xfId="0" applyNumberFormat="1" applyFont="1" applyFill="1" applyBorder="1"/>
    <xf numFmtId="0" fontId="9" fillId="41" borderId="0" xfId="325" applyFont="1" applyFill="1" applyBorder="1" applyAlignment="1">
      <alignment horizontal="right" vertical="top" wrapText="1"/>
    </xf>
    <xf numFmtId="195" fontId="9" fillId="41" borderId="0" xfId="0" applyNumberFormat="1" applyFont="1" applyFill="1" applyBorder="1" applyAlignment="1">
      <alignment horizontal="right"/>
    </xf>
    <xf numFmtId="195" fontId="9" fillId="41" borderId="0" xfId="325" applyNumberFormat="1" applyFont="1" applyFill="1" applyBorder="1" applyAlignment="1">
      <alignment horizontal="right" vertical="top" wrapText="1"/>
    </xf>
    <xf numFmtId="14" fontId="6" fillId="0" borderId="15" xfId="325" applyNumberFormat="1" applyFont="1" applyBorder="1"/>
    <xf numFmtId="4" fontId="10" fillId="0" borderId="24" xfId="0" applyNumberFormat="1" applyFont="1" applyFill="1" applyBorder="1"/>
    <xf numFmtId="0" fontId="10" fillId="0" borderId="24" xfId="322" applyFont="1" applyFill="1" applyBorder="1"/>
    <xf numFmtId="3" fontId="9" fillId="0" borderId="14" xfId="0" applyNumberFormat="1" applyFont="1" applyFill="1" applyBorder="1" applyAlignment="1"/>
    <xf numFmtId="3" fontId="9" fillId="0" borderId="0" xfId="0" applyNumberFormat="1" applyFont="1" applyFill="1" applyBorder="1" applyAlignment="1">
      <alignment horizontal="center"/>
    </xf>
    <xf numFmtId="195" fontId="9" fillId="0" borderId="14" xfId="0" applyNumberFormat="1" applyFont="1" applyBorder="1"/>
    <xf numFmtId="195" fontId="9" fillId="42" borderId="0" xfId="0" applyNumberFormat="1" applyFont="1" applyFill="1" applyBorder="1"/>
    <xf numFmtId="195" fontId="9" fillId="0" borderId="0" xfId="0" applyNumberFormat="1" applyFont="1" applyFill="1" applyBorder="1"/>
    <xf numFmtId="0" fontId="0" fillId="0" borderId="24" xfId="0" applyBorder="1"/>
    <xf numFmtId="3" fontId="9" fillId="41" borderId="0" xfId="0" applyNumberFormat="1" applyFont="1" applyFill="1" applyBorder="1" applyAlignment="1"/>
    <xf numFmtId="0" fontId="9" fillId="41" borderId="15" xfId="322" quotePrefix="1" applyFont="1" applyFill="1" applyBorder="1" applyAlignment="1">
      <alignment horizontal="center"/>
    </xf>
    <xf numFmtId="0" fontId="9" fillId="41" borderId="0" xfId="322" quotePrefix="1" applyFont="1" applyFill="1" applyBorder="1"/>
    <xf numFmtId="0" fontId="9" fillId="41" borderId="0" xfId="0" applyFont="1" applyFill="1" applyBorder="1"/>
    <xf numFmtId="1" fontId="9" fillId="41" borderId="0" xfId="0" applyNumberFormat="1" applyFont="1" applyFill="1" applyBorder="1" applyAlignment="1"/>
    <xf numFmtId="0" fontId="9" fillId="41" borderId="14" xfId="0" applyFont="1" applyFill="1" applyBorder="1"/>
    <xf numFmtId="4" fontId="9" fillId="41" borderId="0" xfId="0" applyNumberFormat="1" applyFont="1" applyFill="1" applyBorder="1" applyAlignment="1"/>
    <xf numFmtId="4" fontId="9" fillId="41" borderId="14" xfId="0" applyNumberFormat="1" applyFont="1" applyFill="1" applyBorder="1" applyAlignment="1"/>
    <xf numFmtId="14" fontId="0" fillId="0" borderId="0" xfId="0" applyNumberFormat="1"/>
    <xf numFmtId="0" fontId="9" fillId="36" borderId="0" xfId="325" applyFont="1" applyFill="1" applyBorder="1" applyAlignment="1">
      <alignment horizontal="right" vertical="top" wrapText="1"/>
    </xf>
    <xf numFmtId="4" fontId="9" fillId="0" borderId="14" xfId="325" applyNumberFormat="1" applyFont="1" applyFill="1" applyBorder="1" applyAlignment="1">
      <alignment horizontal="right" vertical="top" wrapText="1"/>
    </xf>
    <xf numFmtId="194" fontId="9" fillId="42" borderId="0" xfId="0" applyNumberFormat="1" applyFont="1" applyFill="1" applyBorder="1" applyAlignment="1"/>
    <xf numFmtId="0" fontId="106" fillId="0" borderId="0" xfId="0" applyFont="1" applyAlignment="1">
      <alignment vertical="center"/>
    </xf>
    <xf numFmtId="0" fontId="10" fillId="0" borderId="40" xfId="322" applyFont="1" applyBorder="1"/>
    <xf numFmtId="3" fontId="9" fillId="0" borderId="41" xfId="0" applyNumberFormat="1" applyFont="1" applyBorder="1"/>
    <xf numFmtId="0" fontId="10" fillId="0" borderId="40" xfId="0" applyFont="1" applyBorder="1"/>
    <xf numFmtId="0" fontId="92" fillId="28" borderId="45" xfId="496" applyFont="1" applyFill="1" applyBorder="1" applyAlignment="1">
      <alignment horizontal="center"/>
    </xf>
    <xf numFmtId="14" fontId="6" fillId="0" borderId="0" xfId="0" applyNumberFormat="1" applyFont="1"/>
    <xf numFmtId="10" fontId="9" fillId="0" borderId="45" xfId="12062" applyNumberFormat="1" applyFont="1" applyBorder="1" applyAlignment="1">
      <alignment horizontal="center" vertical="center"/>
    </xf>
    <xf numFmtId="0" fontId="9" fillId="0" borderId="45" xfId="0" applyFont="1" applyBorder="1"/>
    <xf numFmtId="49" fontId="9" fillId="0" borderId="23" xfId="534" applyNumberFormat="1" applyFont="1" applyBorder="1" applyAlignment="1">
      <alignment horizontal="center"/>
    </xf>
    <xf numFmtId="49" fontId="9" fillId="36" borderId="0" xfId="0" applyNumberFormat="1" applyFont="1" applyFill="1" applyBorder="1" applyAlignment="1">
      <alignment horizontal="right" vertical="center"/>
    </xf>
    <xf numFmtId="0" fontId="10" fillId="0" borderId="45" xfId="534" applyFont="1" applyFill="1" applyBorder="1"/>
    <xf numFmtId="0" fontId="9" fillId="0" borderId="45" xfId="534" applyFont="1" applyFill="1" applyBorder="1" applyAlignment="1">
      <alignment horizontal="center" wrapText="1"/>
    </xf>
    <xf numFmtId="49" fontId="9" fillId="0" borderId="45" xfId="534" applyNumberFormat="1" applyFont="1" applyBorder="1" applyAlignment="1">
      <alignment horizontal="center"/>
    </xf>
    <xf numFmtId="196" fontId="9" fillId="0" borderId="0" xfId="0" applyNumberFormat="1" applyFont="1" applyBorder="1" applyAlignment="1"/>
    <xf numFmtId="196" fontId="10" fillId="0" borderId="14" xfId="0" applyNumberFormat="1" applyFont="1" applyBorder="1"/>
    <xf numFmtId="196" fontId="9" fillId="0" borderId="14" xfId="0" applyNumberFormat="1" applyFont="1" applyBorder="1" applyAlignment="1"/>
    <xf numFmtId="198" fontId="9" fillId="0" borderId="0" xfId="0" applyNumberFormat="1" applyFont="1"/>
    <xf numFmtId="0" fontId="0" fillId="0" borderId="14" xfId="0" applyBorder="1"/>
    <xf numFmtId="3" fontId="10" fillId="0" borderId="24" xfId="0" applyNumberFormat="1" applyFont="1" applyFill="1" applyBorder="1"/>
    <xf numFmtId="0" fontId="10" fillId="27" borderId="0" xfId="846" applyFont="1" applyFill="1" applyAlignment="1">
      <alignment horizontal="right"/>
    </xf>
    <xf numFmtId="49" fontId="9" fillId="0" borderId="0" xfId="846" applyNumberFormat="1" applyFont="1" applyAlignment="1">
      <alignment horizontal="right"/>
    </xf>
    <xf numFmtId="49" fontId="9" fillId="0" borderId="0" xfId="2962" applyNumberFormat="1" applyFont="1" applyAlignment="1">
      <alignment horizontal="right"/>
    </xf>
    <xf numFmtId="49" fontId="9" fillId="0" borderId="0" xfId="0" applyNumberFormat="1" applyFont="1" applyAlignment="1">
      <alignment horizontal="right"/>
    </xf>
    <xf numFmtId="49" fontId="9" fillId="0" borderId="0" xfId="846" quotePrefix="1" applyNumberFormat="1" applyFont="1"/>
    <xf numFmtId="0" fontId="83" fillId="0" borderId="0" xfId="0" applyFont="1" applyFill="1" applyBorder="1" applyAlignment="1">
      <alignment horizontal="left"/>
    </xf>
    <xf numFmtId="0" fontId="84" fillId="0" borderId="0" xfId="2962" applyFont="1" applyFill="1" applyBorder="1" applyAlignment="1">
      <alignment horizontal="left"/>
    </xf>
    <xf numFmtId="3" fontId="9" fillId="0" borderId="51" xfId="0" applyNumberFormat="1" applyFont="1" applyBorder="1" applyAlignment="1"/>
    <xf numFmtId="0" fontId="9" fillId="0" borderId="0" xfId="773" applyFont="1" applyFill="1" applyAlignment="1">
      <alignment horizontal="left"/>
    </xf>
    <xf numFmtId="49" fontId="9" fillId="0" borderId="0" xfId="773" quotePrefix="1" applyNumberFormat="1" applyFont="1" applyFill="1" applyAlignment="1">
      <alignment horizontal="left"/>
    </xf>
    <xf numFmtId="0" fontId="9" fillId="36" borderId="0" xfId="0" applyFont="1" applyFill="1" applyAlignment="1">
      <alignment horizontal="center"/>
    </xf>
    <xf numFmtId="0" fontId="9" fillId="0" borderId="0" xfId="0" quotePrefix="1" applyFont="1" applyAlignment="1">
      <alignment horizontal="right"/>
    </xf>
    <xf numFmtId="0" fontId="9" fillId="0" borderId="0" xfId="0" applyFont="1" applyAlignment="1">
      <alignment wrapText="1"/>
    </xf>
    <xf numFmtId="0" fontId="9" fillId="0" borderId="23" xfId="534" applyFont="1" applyFill="1" applyBorder="1" applyAlignment="1">
      <alignment horizontal="center" vertical="center"/>
    </xf>
    <xf numFmtId="0" fontId="9" fillId="0" borderId="0" xfId="322" quotePrefix="1" applyFont="1" applyFill="1" applyBorder="1"/>
    <xf numFmtId="3" fontId="9" fillId="0" borderId="52" xfId="0" applyNumberFormat="1" applyFont="1" applyBorder="1" applyAlignment="1"/>
    <xf numFmtId="3" fontId="9" fillId="36" borderId="0" xfId="0" applyNumberFormat="1" applyFont="1" applyFill="1" applyBorder="1" applyAlignment="1">
      <alignment horizontal="center"/>
    </xf>
    <xf numFmtId="3" fontId="9" fillId="36" borderId="0" xfId="0" applyNumberFormat="1" applyFont="1" applyFill="1" applyBorder="1"/>
    <xf numFmtId="14" fontId="9" fillId="0" borderId="0" xfId="0" applyNumberFormat="1" applyFont="1" applyAlignment="1">
      <alignment horizontal="center" vertical="center"/>
    </xf>
    <xf numFmtId="0" fontId="9" fillId="42" borderId="0" xfId="0" applyFont="1" applyFill="1"/>
    <xf numFmtId="195" fontId="9" fillId="42" borderId="0" xfId="0" applyNumberFormat="1" applyFont="1" applyFill="1" applyBorder="1" applyAlignment="1">
      <alignment horizontal="right"/>
    </xf>
    <xf numFmtId="195" fontId="9" fillId="42" borderId="0" xfId="325" applyNumberFormat="1" applyFont="1" applyFill="1" applyBorder="1" applyAlignment="1">
      <alignment horizontal="right" vertical="top" wrapText="1"/>
    </xf>
    <xf numFmtId="1" fontId="9" fillId="0" borderId="0" xfId="325" applyNumberFormat="1" applyFont="1" applyFill="1" applyBorder="1" applyAlignment="1">
      <alignment horizontal="right" vertical="top" wrapText="1"/>
    </xf>
    <xf numFmtId="0" fontId="13" fillId="41" borderId="20" xfId="325" applyFont="1" applyFill="1" applyBorder="1" applyAlignment="1">
      <alignment horizontal="center" vertical="top" wrapText="1"/>
    </xf>
    <xf numFmtId="0" fontId="13" fillId="41" borderId="15" xfId="325" applyFont="1" applyFill="1" applyBorder="1" applyAlignment="1">
      <alignment horizontal="center" vertical="top" wrapText="1"/>
    </xf>
    <xf numFmtId="0" fontId="9" fillId="42" borderId="0" xfId="0" applyFont="1" applyFill="1" applyBorder="1"/>
    <xf numFmtId="1" fontId="9" fillId="42" borderId="0" xfId="0" applyNumberFormat="1" applyFont="1" applyFill="1" applyBorder="1" applyAlignment="1"/>
    <xf numFmtId="14" fontId="9" fillId="42" borderId="0" xfId="0" applyNumberFormat="1" applyFont="1" applyFill="1" applyBorder="1"/>
    <xf numFmtId="3" fontId="9" fillId="41" borderId="0" xfId="0" applyNumberFormat="1" applyFont="1" applyFill="1" applyBorder="1" applyAlignment="1">
      <alignment horizontal="right" vertical="center"/>
    </xf>
    <xf numFmtId="0" fontId="9" fillId="42" borderId="14" xfId="0" applyFont="1" applyFill="1" applyBorder="1"/>
    <xf numFmtId="49" fontId="9" fillId="41" borderId="14" xfId="0" applyNumberFormat="1" applyFont="1" applyFill="1" applyBorder="1" applyAlignment="1">
      <alignment horizontal="right" vertical="center"/>
    </xf>
    <xf numFmtId="49" fontId="9" fillId="41" borderId="14" xfId="0" quotePrefix="1" applyNumberFormat="1" applyFont="1" applyFill="1" applyBorder="1" applyAlignment="1">
      <alignment horizontal="right" vertical="center"/>
    </xf>
    <xf numFmtId="0" fontId="9" fillId="41" borderId="14" xfId="325" applyFont="1" applyFill="1" applyBorder="1" applyAlignment="1">
      <alignment horizontal="right" vertical="top" wrapText="1"/>
    </xf>
    <xf numFmtId="49" fontId="9" fillId="0" borderId="14" xfId="0" quotePrefix="1" applyNumberFormat="1" applyFont="1" applyBorder="1" applyAlignment="1">
      <alignment horizontal="right" vertical="center"/>
    </xf>
    <xf numFmtId="0" fontId="9" fillId="0" borderId="0" xfId="325" quotePrefix="1" applyFont="1" applyAlignment="1">
      <alignment horizontal="center" vertical="center"/>
    </xf>
    <xf numFmtId="1" fontId="9" fillId="42" borderId="0" xfId="325" applyNumberFormat="1" applyFont="1" applyFill="1" applyBorder="1" applyAlignment="1">
      <alignment horizontal="right" vertical="top" wrapText="1"/>
    </xf>
    <xf numFmtId="0" fontId="10" fillId="0" borderId="53" xfId="0" applyFont="1" applyBorder="1"/>
    <xf numFmtId="3" fontId="9" fillId="0" borderId="11" xfId="0" applyNumberFormat="1" applyFont="1" applyBorder="1"/>
    <xf numFmtId="3" fontId="9" fillId="36" borderId="11" xfId="0" applyNumberFormat="1" applyFont="1" applyFill="1" applyBorder="1"/>
    <xf numFmtId="3" fontId="9" fillId="0" borderId="54" xfId="0" applyNumberFormat="1" applyFont="1" applyBorder="1"/>
    <xf numFmtId="49" fontId="9" fillId="0" borderId="0" xfId="325" quotePrefix="1" applyNumberFormat="1" applyFont="1" applyFill="1" applyAlignment="1">
      <alignment horizontal="center" vertical="top" wrapText="1"/>
    </xf>
    <xf numFmtId="49" fontId="9" fillId="0" borderId="0" xfId="325" quotePrefix="1" applyNumberFormat="1" applyFont="1" applyFill="1" applyAlignment="1">
      <alignment horizontal="center"/>
    </xf>
    <xf numFmtId="0" fontId="80" fillId="0" borderId="0" xfId="0" applyFont="1" applyFill="1" applyBorder="1" applyAlignment="1">
      <alignment horizontal="center" vertical="center"/>
    </xf>
    <xf numFmtId="49" fontId="81" fillId="0" borderId="0" xfId="0" applyNumberFormat="1" applyFont="1" applyAlignment="1">
      <alignment horizontal="center" vertical="center"/>
    </xf>
    <xf numFmtId="49" fontId="0" fillId="0" borderId="0" xfId="0" applyNumberFormat="1" applyAlignment="1">
      <alignment horizontal="center" vertical="center"/>
    </xf>
    <xf numFmtId="0" fontId="10" fillId="27" borderId="23" xfId="321" applyFont="1" applyFill="1" applyBorder="1" applyAlignment="1">
      <alignment horizontal="center" vertical="center"/>
    </xf>
    <xf numFmtId="49" fontId="81" fillId="0" borderId="0" xfId="0" applyNumberFormat="1" applyFont="1" applyAlignment="1">
      <alignment horizontal="left" vertical="center"/>
    </xf>
    <xf numFmtId="49" fontId="6" fillId="0" borderId="0" xfId="0" applyNumberFormat="1" applyFont="1" applyAlignment="1">
      <alignment horizontal="left"/>
    </xf>
    <xf numFmtId="199" fontId="9" fillId="0" borderId="0" xfId="0" applyNumberFormat="1" applyFont="1" applyBorder="1" applyAlignment="1"/>
    <xf numFmtId="199" fontId="9" fillId="42" borderId="0" xfId="0" applyNumberFormat="1" applyFont="1" applyFill="1" applyBorder="1" applyAlignment="1"/>
    <xf numFmtId="199" fontId="9" fillId="0" borderId="14" xfId="0" applyNumberFormat="1" applyFont="1" applyBorder="1" applyAlignment="1"/>
    <xf numFmtId="0" fontId="0" fillId="42" borderId="0" xfId="0" applyFill="1" applyBorder="1" applyAlignment="1">
      <alignment horizontal="center"/>
    </xf>
    <xf numFmtId="195" fontId="9" fillId="42" borderId="0" xfId="0" applyNumberFormat="1" applyFont="1" applyFill="1"/>
    <xf numFmtId="3" fontId="0" fillId="42" borderId="0" xfId="0" applyNumberFormat="1" applyFill="1"/>
    <xf numFmtId="3" fontId="9" fillId="42" borderId="47" xfId="0" applyNumberFormat="1" applyFont="1" applyFill="1" applyBorder="1" applyAlignment="1"/>
    <xf numFmtId="2" fontId="9" fillId="0" borderId="0" xfId="325" applyNumberFormat="1" applyFont="1" applyFill="1" applyAlignment="1">
      <alignment horizontal="center" vertical="top" wrapText="1"/>
    </xf>
    <xf numFmtId="0" fontId="9" fillId="0" borderId="14" xfId="0" applyNumberFormat="1" applyFont="1" applyBorder="1" applyAlignment="1">
      <alignment horizontal="center" vertical="center"/>
    </xf>
    <xf numFmtId="0" fontId="9" fillId="0" borderId="14" xfId="325" applyFont="1" applyFill="1" applyBorder="1" applyAlignment="1">
      <alignment horizontal="center" vertical="center" wrapText="1"/>
    </xf>
    <xf numFmtId="0" fontId="10" fillId="0" borderId="14" xfId="534" applyFont="1" applyFill="1" applyBorder="1" applyAlignment="1">
      <alignment horizontal="center" vertical="center"/>
    </xf>
    <xf numFmtId="0" fontId="9" fillId="0" borderId="14" xfId="325" applyFont="1" applyBorder="1" applyAlignment="1">
      <alignment horizontal="center" vertical="center"/>
    </xf>
    <xf numFmtId="49" fontId="9" fillId="0" borderId="14" xfId="325" applyNumberFormat="1" applyFont="1" applyBorder="1" applyAlignment="1">
      <alignment horizontal="center" vertical="center"/>
    </xf>
    <xf numFmtId="14" fontId="90" fillId="0" borderId="23" xfId="846" applyNumberFormat="1" applyFont="1" applyBorder="1" applyAlignment="1">
      <alignment horizontal="center"/>
    </xf>
    <xf numFmtId="0" fontId="6" fillId="0" borderId="0" xfId="0" applyFont="1"/>
    <xf numFmtId="0" fontId="90" fillId="0" borderId="30" xfId="496" applyFont="1" applyBorder="1" applyAlignment="1">
      <alignment horizontal="center" vertical="center"/>
    </xf>
    <xf numFmtId="0" fontId="94" fillId="0" borderId="24" xfId="496" applyFont="1" applyBorder="1" applyAlignment="1">
      <alignment horizontal="center" vertical="center"/>
    </xf>
    <xf numFmtId="0" fontId="94" fillId="0" borderId="26" xfId="496" applyFont="1" applyBorder="1" applyAlignment="1">
      <alignment horizontal="center" vertical="center"/>
    </xf>
    <xf numFmtId="0" fontId="90" fillId="0" borderId="23" xfId="496" applyFont="1" applyBorder="1" applyAlignment="1">
      <alignment horizontal="center" vertical="center"/>
    </xf>
    <xf numFmtId="0" fontId="94" fillId="0" borderId="23" xfId="496" applyFont="1" applyBorder="1" applyAlignment="1">
      <alignment horizontal="center" vertical="center"/>
    </xf>
    <xf numFmtId="197" fontId="90" fillId="0" borderId="30" xfId="496" applyNumberFormat="1" applyFont="1" applyBorder="1" applyAlignment="1">
      <alignment horizontal="center" vertical="center"/>
    </xf>
    <xf numFmtId="197" fontId="90" fillId="0" borderId="24" xfId="496" applyNumberFormat="1" applyFont="1" applyBorder="1" applyAlignment="1">
      <alignment horizontal="center" vertical="center"/>
    </xf>
    <xf numFmtId="197" fontId="90" fillId="0" borderId="26" xfId="496" applyNumberFormat="1" applyFont="1" applyBorder="1" applyAlignment="1">
      <alignment horizontal="center" vertical="center"/>
    </xf>
    <xf numFmtId="0" fontId="90" fillId="0" borderId="30" xfId="496" applyNumberFormat="1" applyFont="1" applyBorder="1" applyAlignment="1">
      <alignment horizontal="center" vertical="center"/>
    </xf>
    <xf numFmtId="0" fontId="90" fillId="0" borderId="24" xfId="496" applyNumberFormat="1" applyFont="1" applyBorder="1" applyAlignment="1">
      <alignment horizontal="center" vertical="center"/>
    </xf>
    <xf numFmtId="0" fontId="90" fillId="0" borderId="26" xfId="496" applyNumberFormat="1" applyFont="1" applyBorder="1" applyAlignment="1">
      <alignment horizontal="center" vertical="center"/>
    </xf>
    <xf numFmtId="0" fontId="92" fillId="28" borderId="20" xfId="496" applyFont="1" applyFill="1" applyBorder="1" applyAlignment="1">
      <alignment horizontal="center" vertical="center"/>
    </xf>
    <xf numFmtId="0" fontId="93" fillId="28" borderId="22" xfId="496" applyFont="1" applyFill="1" applyBorder="1" applyAlignment="1">
      <alignment horizontal="center" vertical="center"/>
    </xf>
    <xf numFmtId="0" fontId="93" fillId="28" borderId="15" xfId="496" applyFont="1" applyFill="1" applyBorder="1" applyAlignment="1">
      <alignment horizontal="center" vertical="center"/>
    </xf>
    <xf numFmtId="0" fontId="93" fillId="28" borderId="14" xfId="496" applyFont="1" applyFill="1" applyBorder="1" applyAlignment="1">
      <alignment horizontal="center" vertical="center"/>
    </xf>
    <xf numFmtId="0" fontId="93" fillId="28" borderId="18" xfId="496" applyFont="1" applyFill="1" applyBorder="1" applyAlignment="1">
      <alignment horizontal="center" vertical="center"/>
    </xf>
    <xf numFmtId="0" fontId="93" fillId="28" borderId="19" xfId="496" applyFont="1" applyFill="1" applyBorder="1" applyAlignment="1">
      <alignment horizontal="center" vertical="center"/>
    </xf>
    <xf numFmtId="0" fontId="93" fillId="28" borderId="21" xfId="496" applyFont="1" applyFill="1" applyBorder="1" applyAlignment="1">
      <alignment horizontal="center" vertical="center"/>
    </xf>
    <xf numFmtId="0" fontId="93" fillId="28" borderId="0" xfId="496" applyFont="1" applyFill="1" applyBorder="1" applyAlignment="1">
      <alignment horizontal="center" vertical="center"/>
    </xf>
    <xf numFmtId="0" fontId="93" fillId="28" borderId="16" xfId="496" applyFont="1" applyFill="1" applyBorder="1" applyAlignment="1">
      <alignment horizontal="center" vertical="center"/>
    </xf>
    <xf numFmtId="0" fontId="92" fillId="29" borderId="20" xfId="496" applyFont="1" applyFill="1" applyBorder="1" applyAlignment="1">
      <alignment horizontal="center" vertical="center"/>
    </xf>
    <xf numFmtId="0" fontId="93" fillId="29" borderId="21" xfId="496" applyFont="1" applyFill="1" applyBorder="1" applyAlignment="1">
      <alignment horizontal="center" vertical="center"/>
    </xf>
    <xf numFmtId="0" fontId="93" fillId="29" borderId="22" xfId="496" applyFont="1" applyFill="1" applyBorder="1" applyAlignment="1">
      <alignment horizontal="center" vertical="center"/>
    </xf>
    <xf numFmtId="0" fontId="93" fillId="29" borderId="15" xfId="496" applyFont="1" applyFill="1" applyBorder="1" applyAlignment="1">
      <alignment horizontal="center" vertical="center"/>
    </xf>
    <xf numFmtId="0" fontId="93" fillId="29" borderId="0" xfId="496" applyFont="1" applyFill="1" applyBorder="1" applyAlignment="1">
      <alignment horizontal="center" vertical="center"/>
    </xf>
    <xf numFmtId="0" fontId="93" fillId="29" borderId="14" xfId="496" applyFont="1" applyFill="1" applyBorder="1" applyAlignment="1">
      <alignment horizontal="center" vertical="center"/>
    </xf>
    <xf numFmtId="0" fontId="93" fillId="29" borderId="18" xfId="496" applyFont="1" applyFill="1" applyBorder="1" applyAlignment="1">
      <alignment horizontal="center" vertical="center"/>
    </xf>
    <xf numFmtId="0" fontId="93" fillId="29" borderId="16" xfId="496" applyFont="1" applyFill="1" applyBorder="1" applyAlignment="1">
      <alignment horizontal="center" vertical="center"/>
    </xf>
    <xf numFmtId="0" fontId="93" fillId="29" borderId="19" xfId="496" applyFont="1" applyFill="1" applyBorder="1" applyAlignment="1">
      <alignment horizontal="center" vertical="center"/>
    </xf>
    <xf numFmtId="0" fontId="92" fillId="28" borderId="30" xfId="496" applyFont="1" applyFill="1" applyBorder="1" applyAlignment="1">
      <alignment horizontal="center" vertical="center"/>
    </xf>
    <xf numFmtId="0" fontId="93" fillId="28" borderId="24" xfId="496" applyFont="1" applyFill="1" applyBorder="1" applyAlignment="1">
      <alignment horizontal="center" vertical="center"/>
    </xf>
    <xf numFmtId="0" fontId="93" fillId="28" borderId="26" xfId="496" applyFont="1" applyFill="1" applyBorder="1" applyAlignment="1">
      <alignment horizontal="center" vertical="center"/>
    </xf>
    <xf numFmtId="0" fontId="10" fillId="41" borderId="0" xfId="846" applyFont="1" applyFill="1" applyAlignment="1">
      <alignment horizontal="left"/>
    </xf>
    <xf numFmtId="0" fontId="106" fillId="0" borderId="0" xfId="325" applyFont="1" applyFill="1" applyAlignment="1">
      <alignment horizontal="center" vertical="center" wrapText="1"/>
    </xf>
    <xf numFmtId="0" fontId="16" fillId="0" borderId="0" xfId="325" applyFont="1" applyFill="1" applyBorder="1" applyAlignment="1">
      <alignment horizontal="center" vertical="center" wrapText="1"/>
    </xf>
    <xf numFmtId="0" fontId="16" fillId="0" borderId="0" xfId="325" applyFont="1" applyAlignment="1">
      <alignment horizontal="center"/>
    </xf>
    <xf numFmtId="49" fontId="18" fillId="0" borderId="20" xfId="0" applyNumberFormat="1" applyFont="1" applyFill="1" applyBorder="1" applyAlignment="1">
      <alignment horizontal="center" vertical="center" wrapText="1"/>
    </xf>
    <xf numFmtId="49" fontId="18" fillId="0" borderId="21" xfId="0" applyNumberFormat="1" applyFont="1" applyFill="1" applyBorder="1" applyAlignment="1">
      <alignment horizontal="center" vertical="center" wrapText="1"/>
    </xf>
    <xf numFmtId="49" fontId="18" fillId="0" borderId="22" xfId="0" applyNumberFormat="1" applyFont="1" applyFill="1" applyBorder="1" applyAlignment="1">
      <alignment horizontal="center" vertical="center" wrapText="1"/>
    </xf>
    <xf numFmtId="49" fontId="18" fillId="0" borderId="15" xfId="0" applyNumberFormat="1" applyFont="1" applyFill="1" applyBorder="1" applyAlignment="1">
      <alignment horizontal="center" vertical="center" wrapText="1"/>
    </xf>
    <xf numFmtId="49" fontId="18" fillId="0" borderId="0" xfId="0" applyNumberFormat="1" applyFont="1" applyFill="1" applyBorder="1" applyAlignment="1">
      <alignment horizontal="center" vertical="center" wrapText="1"/>
    </xf>
    <xf numFmtId="49" fontId="18" fillId="0" borderId="14" xfId="0" applyNumberFormat="1" applyFont="1" applyFill="1" applyBorder="1" applyAlignment="1">
      <alignment horizontal="center" vertical="center" wrapText="1"/>
    </xf>
    <xf numFmtId="49" fontId="18" fillId="0" borderId="18" xfId="0" applyNumberFormat="1" applyFont="1" applyFill="1" applyBorder="1" applyAlignment="1">
      <alignment horizontal="center" vertical="center" wrapText="1"/>
    </xf>
    <xf numFmtId="49" fontId="18" fillId="0" borderId="16" xfId="0" applyNumberFormat="1" applyFont="1" applyFill="1" applyBorder="1" applyAlignment="1">
      <alignment horizontal="center" vertical="center" wrapText="1"/>
    </xf>
    <xf numFmtId="49" fontId="18" fillId="0" borderId="19" xfId="0" applyNumberFormat="1" applyFont="1" applyFill="1" applyBorder="1" applyAlignment="1">
      <alignment horizontal="center" vertical="center" wrapText="1"/>
    </xf>
    <xf numFmtId="0" fontId="10" fillId="36" borderId="30" xfId="325" applyFont="1" applyFill="1" applyBorder="1" applyAlignment="1">
      <alignment horizontal="center" vertical="center" wrapText="1"/>
    </xf>
    <xf numFmtId="0" fontId="10" fillId="36" borderId="24" xfId="325" applyFont="1" applyFill="1" applyBorder="1" applyAlignment="1">
      <alignment horizontal="center" vertical="center" wrapText="1"/>
    </xf>
    <xf numFmtId="4" fontId="10" fillId="26" borderId="0" xfId="0" applyNumberFormat="1" applyFont="1" applyFill="1" applyBorder="1" applyAlignment="1">
      <alignment horizontal="center"/>
    </xf>
    <xf numFmtId="0" fontId="106" fillId="0" borderId="37" xfId="0" applyFont="1" applyBorder="1" applyAlignment="1">
      <alignment horizontal="center" vertical="center"/>
    </xf>
    <xf numFmtId="0" fontId="106" fillId="0" borderId="38" xfId="0" applyFont="1" applyBorder="1" applyAlignment="1">
      <alignment horizontal="center" vertical="center"/>
    </xf>
    <xf numFmtId="0" fontId="106" fillId="0" borderId="39" xfId="0" applyFont="1" applyBorder="1" applyAlignment="1">
      <alignment horizontal="center" vertical="center"/>
    </xf>
    <xf numFmtId="0" fontId="92" fillId="39" borderId="34" xfId="0" applyFont="1" applyFill="1" applyBorder="1" applyAlignment="1">
      <alignment wrapText="1"/>
    </xf>
    <xf numFmtId="0" fontId="90" fillId="39" borderId="35" xfId="0" applyFont="1" applyFill="1" applyBorder="1" applyAlignment="1">
      <alignment wrapText="1"/>
    </xf>
    <xf numFmtId="0" fontId="90" fillId="39" borderId="36" xfId="0" applyFont="1" applyFill="1" applyBorder="1" applyAlignment="1">
      <alignment wrapText="1"/>
    </xf>
    <xf numFmtId="0" fontId="90" fillId="40" borderId="37" xfId="0" applyFont="1" applyFill="1" applyBorder="1" applyAlignment="1">
      <alignment horizontal="left" vertical="top" wrapText="1"/>
    </xf>
    <xf numFmtId="0" fontId="90" fillId="0" borderId="38" xfId="0" applyFont="1" applyBorder="1" applyAlignment="1">
      <alignment horizontal="left" vertical="top" wrapText="1"/>
    </xf>
    <xf numFmtId="0" fontId="90" fillId="0" borderId="39" xfId="0" applyFont="1" applyBorder="1" applyAlignment="1">
      <alignment horizontal="left" vertical="top" wrapText="1"/>
    </xf>
    <xf numFmtId="0" fontId="90" fillId="0" borderId="40" xfId="0" applyFont="1" applyBorder="1" applyAlignment="1">
      <alignment horizontal="left" vertical="top" wrapText="1"/>
    </xf>
    <xf numFmtId="0" fontId="90" fillId="0" borderId="0" xfId="0" applyFont="1" applyBorder="1" applyAlignment="1">
      <alignment horizontal="left" vertical="top" wrapText="1"/>
    </xf>
    <xf numFmtId="0" fontId="90" fillId="0" borderId="41" xfId="0" applyFont="1" applyBorder="1" applyAlignment="1">
      <alignment horizontal="left" vertical="top" wrapText="1"/>
    </xf>
    <xf numFmtId="0" fontId="90" fillId="0" borderId="42" xfId="0" applyFont="1" applyBorder="1" applyAlignment="1">
      <alignment horizontal="left" vertical="top" wrapText="1"/>
    </xf>
    <xf numFmtId="0" fontId="90" fillId="0" borderId="11" xfId="0" applyFont="1" applyBorder="1" applyAlignment="1">
      <alignment horizontal="left" vertical="top" wrapText="1"/>
    </xf>
    <xf numFmtId="0" fontId="90" fillId="0" borderId="43" xfId="0" applyFont="1" applyBorder="1" applyAlignment="1">
      <alignment horizontal="left" vertical="top" wrapText="1"/>
    </xf>
    <xf numFmtId="0" fontId="86" fillId="0" borderId="0" xfId="418" applyFont="1" applyAlignment="1">
      <alignment horizontal="left" wrapText="1"/>
    </xf>
    <xf numFmtId="200" fontId="9" fillId="36" borderId="0" xfId="0" applyNumberFormat="1" applyFont="1" applyFill="1" applyBorder="1" applyAlignment="1"/>
  </cellXfs>
  <cellStyles count="12063">
    <cellStyle name="?餡_x000c_" xfId="1"/>
    <cellStyle name="?餡_x000c_ 2" xfId="4191"/>
    <cellStyle name="?餡_x000c_k?_x000d_^黇_x0001_??_x0007__x0001_" xfId="2"/>
    <cellStyle name="?餡_x000c_k?_x000d_^黇_x0001_??_x0007__x0001__x0001_" xfId="3"/>
    <cellStyle name="?餡_x000c_k?_x000d_^黇_x0001_??_x0007__x0001__x0001_ 10" xfId="426"/>
    <cellStyle name="?餡_x000c_k?_x000d_^黇_x0001_??_x0007__x0001__x0001_ 10 2" xfId="427"/>
    <cellStyle name="?餡_x000c_k?_x000d_^黇_x0001_??_x0007__x0001__x0001_ 10 2 2" xfId="522"/>
    <cellStyle name="?餡_x000c_k?_x000d_^黇_x0001_??_x0007__x0001__x0001_ 10 2 2 2" xfId="872"/>
    <cellStyle name="?餡_x000c_k?_x000d_^黇_x0001_??_x0007__x0001__x0001_ 10 2 3" xfId="778"/>
    <cellStyle name="?餡_x000c_k?_x000d_^黇_x0001_??_x0007__x0001__x0001_ 10 3" xfId="521"/>
    <cellStyle name="?餡_x000c_k?_x000d_^黇_x0001_??_x0007__x0001__x0001_ 10 3 2" xfId="871"/>
    <cellStyle name="?餡_x000c_k?_x000d_^黇_x0001_??_x0007__x0001__x0001_ 10 4" xfId="777"/>
    <cellStyle name="?餡_x000c_k?_x000d_^黇_x0001_??_x0007__x0001_ 2" xfId="4192"/>
    <cellStyle name="?餡_x000c_k?_x000d_^黇_x0001_??_x0007__x0001__x0001_ 2 2" xfId="428"/>
    <cellStyle name="?餡_x000c_k?_x000d_^黇_x0001_??_x0007__x0001__x0001_ 2 2 2" xfId="429"/>
    <cellStyle name="?餡_x000c_k?_x000d_^黇_x0001_??_x0007__x0001__x0001_ 2 2 2 2" xfId="524"/>
    <cellStyle name="?餡_x000c_k?_x000d_^黇_x0001_??_x0007__x0001__x0001_ 2 2 2 2 2" xfId="874"/>
    <cellStyle name="?餡_x000c_k?_x000d_^黇_x0001_??_x0007__x0001__x0001_ 2 2 2 3" xfId="780"/>
    <cellStyle name="?餡_x000c_k?_x000d_^黇_x0001_??_x0007__x0001__x0001_ 2 2 3" xfId="523"/>
    <cellStyle name="?餡_x000c_k?_x000d_^黇_x0001_??_x0007__x0001__x0001_ 2 2 3 2" xfId="873"/>
    <cellStyle name="?餡_x000c_k?_x000d_^黇_x0001_??_x0007__x0001__x0001_ 2 2 4" xfId="779"/>
    <cellStyle name="?餡_x000c_k?_x000d_^黇_x0001_??_x0007__x0001_ 3" xfId="4373"/>
    <cellStyle name="_KPI 2009 data" xfId="4"/>
    <cellStyle name="_KPI 2009 data 2" xfId="4193"/>
    <cellStyle name="_Norman's salary 2010" xfId="5"/>
    <cellStyle name="_Norman's salary 2010 2" xfId="4194"/>
    <cellStyle name="_PIT 2008 finalisation11" xfId="6"/>
    <cellStyle name="_PIT 2008 finalisation11 2" xfId="4195"/>
    <cellStyle name="=C:\WINDOWS\SYSTEM32\COMMAND.COM" xfId="7"/>
    <cellStyle name="=C:\WINDOWS\SYSTEM32\COMMAND.COM 10" xfId="8"/>
    <cellStyle name="=C:\WINDOWS\SYSTEM32\COMMAND.COM 10 2" xfId="4196"/>
    <cellStyle name="=C:\WINDOWS\SYSTEM32\COMMAND.COM 2" xfId="9"/>
    <cellStyle name="=C:\WINDOWS\SYSTEM32\COMMAND.COM 2 2" xfId="431"/>
    <cellStyle name="=C:\WINDOWS\SYSTEM32\COMMAND.COM 2 2 2" xfId="432"/>
    <cellStyle name="=C:\WINDOWS\SYSTEM32\COMMAND.COM 2 2 2 2" xfId="433"/>
    <cellStyle name="=C:\WINDOWS\SYSTEM32\COMMAND.COM 2 2 2 2 2" xfId="528"/>
    <cellStyle name="=C:\WINDOWS\SYSTEM32\COMMAND.COM 2 2 2 2 2 2" xfId="878"/>
    <cellStyle name="=C:\WINDOWS\SYSTEM32\COMMAND.COM 2 2 2 2 3" xfId="784"/>
    <cellStyle name="=C:\WINDOWS\SYSTEM32\COMMAND.COM 2 2 2 3" xfId="527"/>
    <cellStyle name="=C:\WINDOWS\SYSTEM32\COMMAND.COM 2 2 2 3 2" xfId="877"/>
    <cellStyle name="=C:\WINDOWS\SYSTEM32\COMMAND.COM 2 2 2 4" xfId="783"/>
    <cellStyle name="=C:\WINDOWS\SYSTEM32\COMMAND.COM 2 2 3" xfId="526"/>
    <cellStyle name="=C:\WINDOWS\SYSTEM32\COMMAND.COM 2 2 3 2" xfId="876"/>
    <cellStyle name="=C:\WINDOWS\SYSTEM32\COMMAND.COM 2 2 4" xfId="782"/>
    <cellStyle name="=C:\WINDOWS\SYSTEM32\COMMAND.COM 2 3" xfId="525"/>
    <cellStyle name="=C:\WINDOWS\SYSTEM32\COMMAND.COM 2 3 2" xfId="875"/>
    <cellStyle name="=C:\WINDOWS\SYSTEM32\COMMAND.COM 2 4" xfId="781"/>
    <cellStyle name="=C:\WINDOWS\SYSTEM32\COMMAND.COM 2 5" xfId="430"/>
    <cellStyle name="=C:\WINDOWS\SYSTEM32\COMMAND.COM 3" xfId="434"/>
    <cellStyle name="=C:\WINDOWS\SYSTEM32\COMMAND.COM 3 2" xfId="435"/>
    <cellStyle name="=C:\WINDOWS\SYSTEM32\COMMAND.COM 3 2 2" xfId="530"/>
    <cellStyle name="=C:\WINDOWS\SYSTEM32\COMMAND.COM 3 2 2 2" xfId="880"/>
    <cellStyle name="=C:\WINDOWS\SYSTEM32\COMMAND.COM 3 2 3" xfId="786"/>
    <cellStyle name="=C:\WINDOWS\SYSTEM32\COMMAND.COM 3 3" xfId="529"/>
    <cellStyle name="=C:\WINDOWS\SYSTEM32\COMMAND.COM 3 3 2" xfId="879"/>
    <cellStyle name="=C:\WINDOWS\SYSTEM32\COMMAND.COM 3 4" xfId="785"/>
    <cellStyle name="20% - Accent1 2" xfId="10"/>
    <cellStyle name="20% - Accent2 2" xfId="11"/>
    <cellStyle name="20% - Accent3 2" xfId="12"/>
    <cellStyle name="20% - Accent4 2" xfId="13"/>
    <cellStyle name="20% - Accent5 2" xfId="14"/>
    <cellStyle name="20% - Accent6 2" xfId="15"/>
    <cellStyle name="32B12" xfId="16"/>
    <cellStyle name="32B12 2" xfId="17"/>
    <cellStyle name="32B12 2 2" xfId="18"/>
    <cellStyle name="32B12 2 2 2" xfId="4199"/>
    <cellStyle name="32B12 2 3" xfId="4198"/>
    <cellStyle name="32B12 3" xfId="19"/>
    <cellStyle name="32B12 3 2" xfId="4200"/>
    <cellStyle name="32B12 4" xfId="20"/>
    <cellStyle name="32B12 4 2" xfId="4201"/>
    <cellStyle name="32B12 5" xfId="4197"/>
    <cellStyle name="40% - Accent1 2" xfId="21"/>
    <cellStyle name="40% - Accent2 2" xfId="22"/>
    <cellStyle name="40% - Accent3 2" xfId="23"/>
    <cellStyle name="40% - Accent4 2" xfId="24"/>
    <cellStyle name="40% - Accent5 2" xfId="25"/>
    <cellStyle name="40% - Accent6 2" xfId="26"/>
    <cellStyle name="60% - Accent1 2" xfId="27"/>
    <cellStyle name="60% - Accent2 2" xfId="28"/>
    <cellStyle name="60% - Accent3 2" xfId="29"/>
    <cellStyle name="60% - Accent4 2" xfId="30"/>
    <cellStyle name="60% - Accent5 2" xfId="31"/>
    <cellStyle name="60% - Accent6 2" xfId="32"/>
    <cellStyle name="Accent1 2" xfId="33"/>
    <cellStyle name="Accent2 2" xfId="34"/>
    <cellStyle name="Accent3 2" xfId="35"/>
    <cellStyle name="Accent4 2" xfId="36"/>
    <cellStyle name="Accent5 2" xfId="37"/>
    <cellStyle name="Accent6 2" xfId="38"/>
    <cellStyle name="AeE­ [0]_INQUIRY ¿μ¾÷AßAø " xfId="39"/>
    <cellStyle name="AeE­_INQUIRY ¿μ¾÷AßAø " xfId="40"/>
    <cellStyle name="AÞ¸¶ [0]_INQUIRY ¿?¾÷AßAø " xfId="41"/>
    <cellStyle name="AÞ¸¶_INQUIRY ¿?¾÷AßAø " xfId="42"/>
    <cellStyle name="Bad 2" xfId="43"/>
    <cellStyle name="C?AØ_¿?¾÷CoE² " xfId="44"/>
    <cellStyle name="C￥AØ_¿μ¾÷CoE² " xfId="45"/>
    <cellStyle name="Calculation 2" xfId="46"/>
    <cellStyle name="Check Cell 2" xfId="47"/>
    <cellStyle name="Comma 10" xfId="48"/>
    <cellStyle name="Comma 10 2" xfId="4202"/>
    <cellStyle name="Comma 11" xfId="49"/>
    <cellStyle name="Comma 11 2" xfId="50"/>
    <cellStyle name="Comma 12" xfId="51"/>
    <cellStyle name="Comma 12 2" xfId="4203"/>
    <cellStyle name="Comma 2" xfId="52"/>
    <cellStyle name="Comma 2 10" xfId="53"/>
    <cellStyle name="Comma 2 10 2" xfId="4205"/>
    <cellStyle name="Comma 2 2" xfId="54"/>
    <cellStyle name="Comma 2 2 2" xfId="55"/>
    <cellStyle name="Comma 2 2 2 2" xfId="882"/>
    <cellStyle name="Comma 2 2 2 3" xfId="532"/>
    <cellStyle name="Comma 2 2 3" xfId="56"/>
    <cellStyle name="Comma 2 2 3 2" xfId="788"/>
    <cellStyle name="Comma 2 2 4" xfId="437"/>
    <cellStyle name="Comma 2 3" xfId="57"/>
    <cellStyle name="Comma 2 3 2" xfId="881"/>
    <cellStyle name="Comma 2 3 3" xfId="531"/>
    <cellStyle name="Comma 2 4" xfId="58"/>
    <cellStyle name="Comma 2 4 2" xfId="787"/>
    <cellStyle name="Comma 2 5" xfId="59"/>
    <cellStyle name="Comma 2 5 2" xfId="4206"/>
    <cellStyle name="Comma 2 6" xfId="436"/>
    <cellStyle name="Comma 2 7" xfId="4204"/>
    <cellStyle name="Comma 3" xfId="60"/>
    <cellStyle name="Comma 3 2" xfId="61"/>
    <cellStyle name="Comma 3 2 2" xfId="62"/>
    <cellStyle name="Comma 3 2 2 2" xfId="4209"/>
    <cellStyle name="Comma 3 2 3" xfId="4208"/>
    <cellStyle name="Comma 3 3" xfId="63"/>
    <cellStyle name="Comma 3 4" xfId="4207"/>
    <cellStyle name="Comma 4" xfId="64"/>
    <cellStyle name="Comma 4 2" xfId="65"/>
    <cellStyle name="Comma 4 2 2" xfId="4211"/>
    <cellStyle name="Comma 4 3" xfId="66"/>
    <cellStyle name="Comma 4 4" xfId="4210"/>
    <cellStyle name="Comma 5" xfId="67"/>
    <cellStyle name="Comma 5 2" xfId="68"/>
    <cellStyle name="Comma 5 3" xfId="69"/>
    <cellStyle name="Comma 5 4" xfId="70"/>
    <cellStyle name="Comma 6" xfId="71"/>
    <cellStyle name="Comma 6 2" xfId="72"/>
    <cellStyle name="Comma 6 3" xfId="73"/>
    <cellStyle name="Comma 6 4" xfId="4212"/>
    <cellStyle name="Comma 7" xfId="74"/>
    <cellStyle name="Comma 7 2" xfId="75"/>
    <cellStyle name="Comma 7 2 2" xfId="76"/>
    <cellStyle name="Comma 7 2 2 2" xfId="4215"/>
    <cellStyle name="Comma 7 2 3" xfId="77"/>
    <cellStyle name="Comma 7 2 4" xfId="4214"/>
    <cellStyle name="Comma 7 3" xfId="78"/>
    <cellStyle name="Comma 7 4" xfId="4213"/>
    <cellStyle name="Comma 8" xfId="79"/>
    <cellStyle name="Comma 8 2" xfId="80"/>
    <cellStyle name="Comma 8 2 2" xfId="81"/>
    <cellStyle name="Comma 8 2 3" xfId="4217"/>
    <cellStyle name="Comma 8 3" xfId="82"/>
    <cellStyle name="Comma 8 4" xfId="4216"/>
    <cellStyle name="Comma 9" xfId="83"/>
    <cellStyle name="Comma 9 2" xfId="84"/>
    <cellStyle name="Comma0" xfId="85"/>
    <cellStyle name="Comma0 2" xfId="86"/>
    <cellStyle name="Comma0 2 2" xfId="4219"/>
    <cellStyle name="Comma0 3" xfId="4218"/>
    <cellStyle name="Currency 2" xfId="87"/>
    <cellStyle name="Currency 2 2" xfId="4220"/>
    <cellStyle name="Currency0" xfId="88"/>
    <cellStyle name="Currency0 2" xfId="89"/>
    <cellStyle name="Currency0 2 2" xfId="4222"/>
    <cellStyle name="Currency0 3" xfId="4221"/>
    <cellStyle name="Date" xfId="90"/>
    <cellStyle name="Date 2" xfId="91"/>
    <cellStyle name="Date 2 2" xfId="4224"/>
    <cellStyle name="Date 3" xfId="4223"/>
    <cellStyle name="Euro" xfId="92"/>
    <cellStyle name="Euro 2" xfId="93"/>
    <cellStyle name="Euro 2 2" xfId="533"/>
    <cellStyle name="Euro 2 2 2" xfId="883"/>
    <cellStyle name="Euro 2 3" xfId="789"/>
    <cellStyle name="Euro 2 4" xfId="438"/>
    <cellStyle name="Euro 3" xfId="94"/>
    <cellStyle name="Euro 3 2" xfId="554"/>
    <cellStyle name="Euro 3 2 2" xfId="904"/>
    <cellStyle name="Euro 3 3" xfId="847"/>
    <cellStyle name="Euro 3 4" xfId="497"/>
    <cellStyle name="Euro 4" xfId="421"/>
    <cellStyle name="Euro 4 2" xfId="1123"/>
    <cellStyle name="Explanatory Text 2" xfId="95"/>
    <cellStyle name="Fixed" xfId="96"/>
    <cellStyle name="Fixed 2" xfId="97"/>
    <cellStyle name="Fixed 2 2" xfId="4226"/>
    <cellStyle name="Fixed 3" xfId="4225"/>
    <cellStyle name="Good 2" xfId="98"/>
    <cellStyle name="Header1" xfId="99"/>
    <cellStyle name="Header2" xfId="100"/>
    <cellStyle name="Heading 1 2" xfId="101"/>
    <cellStyle name="Heading 2 2" xfId="102"/>
    <cellStyle name="Heading 2 2 2" xfId="419"/>
    <cellStyle name="Heading 3 2" xfId="103"/>
    <cellStyle name="Heading 4 2" xfId="104"/>
    <cellStyle name="Hyperlink 2" xfId="105"/>
    <cellStyle name="Input 2" xfId="106"/>
    <cellStyle name="Linked Cell 2" xfId="107"/>
    <cellStyle name="Neutral 2" xfId="108"/>
    <cellStyle name="Normal" xfId="0" builtinId="0"/>
    <cellStyle name="Normal - Style1" xfId="109"/>
    <cellStyle name="Normal - Style1 2" xfId="110"/>
    <cellStyle name="Normal 10" xfId="111"/>
    <cellStyle name="Normal 10 2" xfId="112"/>
    <cellStyle name="Normal 10 2 2" xfId="113"/>
    <cellStyle name="Normal 10 2 2 2" xfId="846"/>
    <cellStyle name="Normal 10 2 3" xfId="496"/>
    <cellStyle name="Normal 10 3" xfId="114"/>
    <cellStyle name="Normal 10 4" xfId="772"/>
    <cellStyle name="Normal 10 5" xfId="4227"/>
    <cellStyle name="Normal 11" xfId="115"/>
    <cellStyle name="Normal 11 2" xfId="116"/>
    <cellStyle name="Normal 11 3" xfId="117"/>
    <cellStyle name="Normal 11 4" xfId="4228"/>
    <cellStyle name="Normal 12" xfId="118"/>
    <cellStyle name="Normal 12 2" xfId="119"/>
    <cellStyle name="Normal 12 3" xfId="120"/>
    <cellStyle name="Normal 13" xfId="121"/>
    <cellStyle name="Normal 13 2" xfId="122"/>
    <cellStyle name="Normal 13 3" xfId="123"/>
    <cellStyle name="Normal 14" xfId="124"/>
    <cellStyle name="Normal 14 2" xfId="125"/>
    <cellStyle name="Normal 14 3" xfId="126"/>
    <cellStyle name="Normal 15" xfId="127"/>
    <cellStyle name="Normal 15 2" xfId="128"/>
    <cellStyle name="Normal 15 3" xfId="129"/>
    <cellStyle name="Normal 16" xfId="130"/>
    <cellStyle name="Normal 16 2" xfId="131"/>
    <cellStyle name="Normal 16 3" xfId="132"/>
    <cellStyle name="Normal 17" xfId="133"/>
    <cellStyle name="Normal 17 2" xfId="134"/>
    <cellStyle name="Normal 17 3" xfId="135"/>
    <cellStyle name="Normal 18" xfId="136"/>
    <cellStyle name="Normal 18 2" xfId="137"/>
    <cellStyle name="Normal 18 3" xfId="138"/>
    <cellStyle name="Normal 19" xfId="139"/>
    <cellStyle name="Normal 19 2" xfId="140"/>
    <cellStyle name="Normal 19 3" xfId="141"/>
    <cellStyle name="Normal 2" xfId="142"/>
    <cellStyle name="Normal 2 10" xfId="143"/>
    <cellStyle name="Normal 2 10 2" xfId="4229"/>
    <cellStyle name="Normal 2 11" xfId="144"/>
    <cellStyle name="Normal 2 11 2" xfId="4230"/>
    <cellStyle name="Normal 2 12" xfId="145"/>
    <cellStyle name="Normal 2 12 2" xfId="4231"/>
    <cellStyle name="Normal 2 13" xfId="146"/>
    <cellStyle name="Normal 2 13 2" xfId="4232"/>
    <cellStyle name="Normal 2 14" xfId="147"/>
    <cellStyle name="Normal 2 14 2" xfId="4233"/>
    <cellStyle name="Normal 2 15" xfId="148"/>
    <cellStyle name="Normal 2 15 2" xfId="4234"/>
    <cellStyle name="Normal 2 16" xfId="149"/>
    <cellStyle name="Normal 2 16 2" xfId="4235"/>
    <cellStyle name="Normal 2 17" xfId="150"/>
    <cellStyle name="Normal 2 17 2" xfId="4236"/>
    <cellStyle name="Normal 2 18" xfId="151"/>
    <cellStyle name="Normal 2 18 2" xfId="4237"/>
    <cellStyle name="Normal 2 19" xfId="152"/>
    <cellStyle name="Normal 2 19 2" xfId="4238"/>
    <cellStyle name="Normal 2 2" xfId="153"/>
    <cellStyle name="Normal 2 2 2" xfId="154"/>
    <cellStyle name="Normal 2 2 2 2" xfId="534"/>
    <cellStyle name="Normal 2 2 2 2 2" xfId="884"/>
    <cellStyle name="Normal 2 2 2 3" xfId="790"/>
    <cellStyle name="Normal 2 2 2 4" xfId="439"/>
    <cellStyle name="Normal 2 2 3" xfId="155"/>
    <cellStyle name="Normal 2 2 3 2" xfId="553"/>
    <cellStyle name="Normal 2 2 3 2 2" xfId="903"/>
    <cellStyle name="Normal 2 2 3 3" xfId="809"/>
    <cellStyle name="Normal 2 2 3 4" xfId="459"/>
    <cellStyle name="Normal 2 2 4" xfId="517"/>
    <cellStyle name="Normal 2 2 4 2" xfId="867"/>
    <cellStyle name="Normal 2 2 5" xfId="773"/>
    <cellStyle name="Normal 2 2 6" xfId="422"/>
    <cellStyle name="Normal 2 20" xfId="156"/>
    <cellStyle name="Normal 2 20 2" xfId="4239"/>
    <cellStyle name="Normal 2 21" xfId="157"/>
    <cellStyle name="Normal 2 21 2" xfId="4240"/>
    <cellStyle name="Normal 2 22" xfId="158"/>
    <cellStyle name="Normal 2 22 2" xfId="4241"/>
    <cellStyle name="Normal 2 23" xfId="159"/>
    <cellStyle name="Normal 2 23 2" xfId="4242"/>
    <cellStyle name="Normal 2 24" xfId="160"/>
    <cellStyle name="Normal 2 24 2" xfId="4243"/>
    <cellStyle name="Normal 2 25" xfId="161"/>
    <cellStyle name="Normal 2 25 2" xfId="4244"/>
    <cellStyle name="Normal 2 26" xfId="162"/>
    <cellStyle name="Normal 2 26 2" xfId="4245"/>
    <cellStyle name="Normal 2 27" xfId="163"/>
    <cellStyle name="Normal 2 27 2" xfId="4246"/>
    <cellStyle name="Normal 2 28" xfId="164"/>
    <cellStyle name="Normal 2 28 2" xfId="4247"/>
    <cellStyle name="Normal 2 29" xfId="165"/>
    <cellStyle name="Normal 2 29 2" xfId="4248"/>
    <cellStyle name="Normal 2 3" xfId="166"/>
    <cellStyle name="Normal 2 3 10" xfId="791"/>
    <cellStyle name="Normal 2 3 10 2" xfId="1431"/>
    <cellStyle name="Normal 2 3 10 2 2" xfId="2657"/>
    <cellStyle name="Normal 2 3 10 2 2 2" xfId="6517"/>
    <cellStyle name="Normal 2 3 10 2 2 3" xfId="11469"/>
    <cellStyle name="Normal 2 3 10 2 3" xfId="3885"/>
    <cellStyle name="Normal 2 3 10 2 3 2" xfId="7741"/>
    <cellStyle name="Normal 2 3 10 2 3 3" xfId="10227"/>
    <cellStyle name="Normal 2 3 10 2 4" xfId="5293"/>
    <cellStyle name="Normal 2 3 10 2 5" xfId="8985"/>
    <cellStyle name="Normal 2 3 10 3" xfId="2045"/>
    <cellStyle name="Normal 2 3 10 3 2" xfId="5905"/>
    <cellStyle name="Normal 2 3 10 3 3" xfId="10839"/>
    <cellStyle name="Normal 2 3 10 4" xfId="3273"/>
    <cellStyle name="Normal 2 3 10 4 2" xfId="7129"/>
    <cellStyle name="Normal 2 3 10 4 3" xfId="9597"/>
    <cellStyle name="Normal 2 3 10 5" xfId="4681"/>
    <cellStyle name="Normal 2 3 10 6" xfId="8354"/>
    <cellStyle name="Normal 2 3 11" xfId="1125"/>
    <cellStyle name="Normal 2 3 11 2" xfId="2351"/>
    <cellStyle name="Normal 2 3 11 2 2" xfId="6211"/>
    <cellStyle name="Normal 2 3 11 2 3" xfId="11163"/>
    <cellStyle name="Normal 2 3 11 3" xfId="3579"/>
    <cellStyle name="Normal 2 3 11 3 2" xfId="7435"/>
    <cellStyle name="Normal 2 3 11 3 3" xfId="9921"/>
    <cellStyle name="Normal 2 3 11 4" xfId="4987"/>
    <cellStyle name="Normal 2 3 11 5" xfId="8679"/>
    <cellStyle name="Normal 2 3 12" xfId="440"/>
    <cellStyle name="Normal 2 3 12 2" xfId="4375"/>
    <cellStyle name="Normal 2 3 12 3" xfId="10533"/>
    <cellStyle name="Normal 2 3 13" xfId="1739"/>
    <cellStyle name="Normal 2 3 13 2" xfId="5599"/>
    <cellStyle name="Normal 2 3 13 3" xfId="11775"/>
    <cellStyle name="Normal 2 3 14" xfId="2966"/>
    <cellStyle name="Normal 2 3 14 2" xfId="6823"/>
    <cellStyle name="Normal 2 3 14 3" xfId="9291"/>
    <cellStyle name="Normal 2 3 15" xfId="4249"/>
    <cellStyle name="Normal 2 3 16" xfId="8048"/>
    <cellStyle name="Normal 2 3 2" xfId="441"/>
    <cellStyle name="Normal 2 3 2 10" xfId="1126"/>
    <cellStyle name="Normal 2 3 2 10 2" xfId="2352"/>
    <cellStyle name="Normal 2 3 2 10 2 2" xfId="6212"/>
    <cellStyle name="Normal 2 3 2 10 2 3" xfId="11164"/>
    <cellStyle name="Normal 2 3 2 10 3" xfId="3580"/>
    <cellStyle name="Normal 2 3 2 10 3 2" xfId="7436"/>
    <cellStyle name="Normal 2 3 2 10 3 3" xfId="9922"/>
    <cellStyle name="Normal 2 3 2 10 4" xfId="4988"/>
    <cellStyle name="Normal 2 3 2 10 5" xfId="8680"/>
    <cellStyle name="Normal 2 3 2 11" xfId="1740"/>
    <cellStyle name="Normal 2 3 2 11 2" xfId="5600"/>
    <cellStyle name="Normal 2 3 2 11 3" xfId="10534"/>
    <cellStyle name="Normal 2 3 2 12" xfId="2967"/>
    <cellStyle name="Normal 2 3 2 12 2" xfId="6824"/>
    <cellStyle name="Normal 2 3 2 12 3" xfId="11776"/>
    <cellStyle name="Normal 2 3 2 13" xfId="4376"/>
    <cellStyle name="Normal 2 3 2 13 2" xfId="9292"/>
    <cellStyle name="Normal 2 3 2 14" xfId="8049"/>
    <cellStyle name="Normal 2 3 2 2" xfId="442"/>
    <cellStyle name="Normal 2 3 2 2 10" xfId="1741"/>
    <cellStyle name="Normal 2 3 2 2 10 2" xfId="5601"/>
    <cellStyle name="Normal 2 3 2 2 10 3" xfId="10535"/>
    <cellStyle name="Normal 2 3 2 2 11" xfId="2968"/>
    <cellStyle name="Normal 2 3 2 2 11 2" xfId="6825"/>
    <cellStyle name="Normal 2 3 2 2 11 3" xfId="11777"/>
    <cellStyle name="Normal 2 3 2 2 12" xfId="4377"/>
    <cellStyle name="Normal 2 3 2 2 12 2" xfId="9293"/>
    <cellStyle name="Normal 2 3 2 2 13" xfId="8050"/>
    <cellStyle name="Normal 2 3 2 2 2" xfId="463"/>
    <cellStyle name="Normal 2 3 2 2 2 10" xfId="4395"/>
    <cellStyle name="Normal 2 3 2 2 2 10 2" xfId="9311"/>
    <cellStyle name="Normal 2 3 2 2 2 11" xfId="8068"/>
    <cellStyle name="Normal 2 3 2 2 2 2" xfId="576"/>
    <cellStyle name="Normal 2 3 2 2 2 2 2" xfId="757"/>
    <cellStyle name="Normal 2 3 2 2 2 2 2 2" xfId="1107"/>
    <cellStyle name="Normal 2 3 2 2 2 2 2 2 2" xfId="1721"/>
    <cellStyle name="Normal 2 3 2 2 2 2 2 2 2 2" xfId="2947"/>
    <cellStyle name="Normal 2 3 2 2 2 2 2 2 2 2 2" xfId="6807"/>
    <cellStyle name="Normal 2 3 2 2 2 2 2 2 2 2 3" xfId="11759"/>
    <cellStyle name="Normal 2 3 2 2 2 2 2 2 2 3" xfId="4175"/>
    <cellStyle name="Normal 2 3 2 2 2 2 2 2 2 3 2" xfId="8031"/>
    <cellStyle name="Normal 2 3 2 2 2 2 2 2 2 3 3" xfId="10517"/>
    <cellStyle name="Normal 2 3 2 2 2 2 2 2 2 4" xfId="5583"/>
    <cellStyle name="Normal 2 3 2 2 2 2 2 2 2 5" xfId="9275"/>
    <cellStyle name="Normal 2 3 2 2 2 2 2 2 3" xfId="2335"/>
    <cellStyle name="Normal 2 3 2 2 2 2 2 2 3 2" xfId="6195"/>
    <cellStyle name="Normal 2 3 2 2 2 2 2 2 3 3" xfId="11111"/>
    <cellStyle name="Normal 2 3 2 2 2 2 2 2 4" xfId="3563"/>
    <cellStyle name="Normal 2 3 2 2 2 2 2 2 4 2" xfId="7419"/>
    <cellStyle name="Normal 2 3 2 2 2 2 2 2 4 3" xfId="9869"/>
    <cellStyle name="Normal 2 3 2 2 2 2 2 2 5" xfId="4971"/>
    <cellStyle name="Normal 2 3 2 2 2 2 2 2 6" xfId="8626"/>
    <cellStyle name="Normal 2 3 2 2 2 2 2 3" xfId="1415"/>
    <cellStyle name="Normal 2 3 2 2 2 2 2 3 2" xfId="2641"/>
    <cellStyle name="Normal 2 3 2 2 2 2 2 3 2 2" xfId="6501"/>
    <cellStyle name="Normal 2 3 2 2 2 2 2 3 2 3" xfId="11453"/>
    <cellStyle name="Normal 2 3 2 2 2 2 2 3 3" xfId="3869"/>
    <cellStyle name="Normal 2 3 2 2 2 2 2 3 3 2" xfId="7725"/>
    <cellStyle name="Normal 2 3 2 2 2 2 2 3 3 3" xfId="10211"/>
    <cellStyle name="Normal 2 3 2 2 2 2 2 3 4" xfId="5277"/>
    <cellStyle name="Normal 2 3 2 2 2 2 2 3 5" xfId="8969"/>
    <cellStyle name="Normal 2 3 2 2 2 2 2 4" xfId="2029"/>
    <cellStyle name="Normal 2 3 2 2 2 2 2 4 2" xfId="5889"/>
    <cellStyle name="Normal 2 3 2 2 2 2 2 4 3" xfId="10823"/>
    <cellStyle name="Normal 2 3 2 2 2 2 2 5" xfId="3256"/>
    <cellStyle name="Normal 2 3 2 2 2 2 2 5 2" xfId="7113"/>
    <cellStyle name="Normal 2 3 2 2 2 2 2 5 3" xfId="12029"/>
    <cellStyle name="Normal 2 3 2 2 2 2 2 6" xfId="4665"/>
    <cellStyle name="Normal 2 3 2 2 2 2 2 6 2" xfId="9581"/>
    <cellStyle name="Normal 2 3 2 2 2 2 2 7" xfId="8338"/>
    <cellStyle name="Normal 2 3 2 2 2 2 3" xfId="667"/>
    <cellStyle name="Normal 2 3 2 2 2 2 3 2" xfId="1017"/>
    <cellStyle name="Normal 2 3 2 2 2 2 3 2 2" xfId="1631"/>
    <cellStyle name="Normal 2 3 2 2 2 2 3 2 2 2" xfId="2857"/>
    <cellStyle name="Normal 2 3 2 2 2 2 3 2 2 2 2" xfId="6717"/>
    <cellStyle name="Normal 2 3 2 2 2 2 3 2 2 2 3" xfId="11669"/>
    <cellStyle name="Normal 2 3 2 2 2 2 3 2 2 3" xfId="4085"/>
    <cellStyle name="Normal 2 3 2 2 2 2 3 2 2 3 2" xfId="7941"/>
    <cellStyle name="Normal 2 3 2 2 2 2 3 2 2 3 3" xfId="10427"/>
    <cellStyle name="Normal 2 3 2 2 2 2 3 2 2 4" xfId="5493"/>
    <cellStyle name="Normal 2 3 2 2 2 2 3 2 2 5" xfId="9185"/>
    <cellStyle name="Normal 2 3 2 2 2 2 3 2 3" xfId="2245"/>
    <cellStyle name="Normal 2 3 2 2 2 2 3 2 3 2" xfId="6105"/>
    <cellStyle name="Normal 2 3 2 2 2 2 3 2 3 3" xfId="11021"/>
    <cellStyle name="Normal 2 3 2 2 2 2 3 2 4" xfId="3473"/>
    <cellStyle name="Normal 2 3 2 2 2 2 3 2 4 2" xfId="7329"/>
    <cellStyle name="Normal 2 3 2 2 2 2 3 2 4 3" xfId="9779"/>
    <cellStyle name="Normal 2 3 2 2 2 2 3 2 5" xfId="4881"/>
    <cellStyle name="Normal 2 3 2 2 2 2 3 2 6" xfId="8536"/>
    <cellStyle name="Normal 2 3 2 2 2 2 3 3" xfId="1325"/>
    <cellStyle name="Normal 2 3 2 2 2 2 3 3 2" xfId="2551"/>
    <cellStyle name="Normal 2 3 2 2 2 2 3 3 2 2" xfId="6411"/>
    <cellStyle name="Normal 2 3 2 2 2 2 3 3 2 3" xfId="11363"/>
    <cellStyle name="Normal 2 3 2 2 2 2 3 3 3" xfId="3779"/>
    <cellStyle name="Normal 2 3 2 2 2 2 3 3 3 2" xfId="7635"/>
    <cellStyle name="Normal 2 3 2 2 2 2 3 3 3 3" xfId="10121"/>
    <cellStyle name="Normal 2 3 2 2 2 2 3 3 4" xfId="5187"/>
    <cellStyle name="Normal 2 3 2 2 2 2 3 3 5" xfId="8879"/>
    <cellStyle name="Normal 2 3 2 2 2 2 3 4" xfId="1939"/>
    <cellStyle name="Normal 2 3 2 2 2 2 3 4 2" xfId="5799"/>
    <cellStyle name="Normal 2 3 2 2 2 2 3 4 3" xfId="10733"/>
    <cellStyle name="Normal 2 3 2 2 2 2 3 5" xfId="3166"/>
    <cellStyle name="Normal 2 3 2 2 2 2 3 5 2" xfId="7023"/>
    <cellStyle name="Normal 2 3 2 2 2 2 3 5 3" xfId="11939"/>
    <cellStyle name="Normal 2 3 2 2 2 2 3 6" xfId="4575"/>
    <cellStyle name="Normal 2 3 2 2 2 2 3 6 2" xfId="9491"/>
    <cellStyle name="Normal 2 3 2 2 2 2 3 7" xfId="8248"/>
    <cellStyle name="Normal 2 3 2 2 2 2 4" xfId="926"/>
    <cellStyle name="Normal 2 3 2 2 2 2 4 2" xfId="1541"/>
    <cellStyle name="Normal 2 3 2 2 2 2 4 2 2" xfId="2767"/>
    <cellStyle name="Normal 2 3 2 2 2 2 4 2 2 2" xfId="6627"/>
    <cellStyle name="Normal 2 3 2 2 2 2 4 2 2 3" xfId="11579"/>
    <cellStyle name="Normal 2 3 2 2 2 2 4 2 3" xfId="3995"/>
    <cellStyle name="Normal 2 3 2 2 2 2 4 2 3 2" xfId="7851"/>
    <cellStyle name="Normal 2 3 2 2 2 2 4 2 3 3" xfId="10337"/>
    <cellStyle name="Normal 2 3 2 2 2 2 4 2 4" xfId="5403"/>
    <cellStyle name="Normal 2 3 2 2 2 2 4 2 5" xfId="9095"/>
    <cellStyle name="Normal 2 3 2 2 2 2 4 3" xfId="2155"/>
    <cellStyle name="Normal 2 3 2 2 2 2 4 3 2" xfId="6015"/>
    <cellStyle name="Normal 2 3 2 2 2 2 4 3 3" xfId="10931"/>
    <cellStyle name="Normal 2 3 2 2 2 2 4 4" xfId="3383"/>
    <cellStyle name="Normal 2 3 2 2 2 2 4 4 2" xfId="7239"/>
    <cellStyle name="Normal 2 3 2 2 2 2 4 4 3" xfId="9689"/>
    <cellStyle name="Normal 2 3 2 2 2 2 4 5" xfId="4791"/>
    <cellStyle name="Normal 2 3 2 2 2 2 4 6" xfId="8446"/>
    <cellStyle name="Normal 2 3 2 2 2 2 5" xfId="1235"/>
    <cellStyle name="Normal 2 3 2 2 2 2 5 2" xfId="2461"/>
    <cellStyle name="Normal 2 3 2 2 2 2 5 2 2" xfId="6321"/>
    <cellStyle name="Normal 2 3 2 2 2 2 5 2 3" xfId="11273"/>
    <cellStyle name="Normal 2 3 2 2 2 2 5 3" xfId="3689"/>
    <cellStyle name="Normal 2 3 2 2 2 2 5 3 2" xfId="7545"/>
    <cellStyle name="Normal 2 3 2 2 2 2 5 3 3" xfId="10031"/>
    <cellStyle name="Normal 2 3 2 2 2 2 5 4" xfId="5097"/>
    <cellStyle name="Normal 2 3 2 2 2 2 5 5" xfId="8789"/>
    <cellStyle name="Normal 2 3 2 2 2 2 6" xfId="1849"/>
    <cellStyle name="Normal 2 3 2 2 2 2 6 2" xfId="5709"/>
    <cellStyle name="Normal 2 3 2 2 2 2 6 3" xfId="10643"/>
    <cellStyle name="Normal 2 3 2 2 2 2 7" xfId="3076"/>
    <cellStyle name="Normal 2 3 2 2 2 2 7 2" xfId="6933"/>
    <cellStyle name="Normal 2 3 2 2 2 2 7 3" xfId="11849"/>
    <cellStyle name="Normal 2 3 2 2 2 2 8" xfId="4485"/>
    <cellStyle name="Normal 2 3 2 2 2 2 8 2" xfId="9401"/>
    <cellStyle name="Normal 2 3 2 2 2 2 9" xfId="8158"/>
    <cellStyle name="Normal 2 3 2 2 2 3" xfId="721"/>
    <cellStyle name="Normal 2 3 2 2 2 3 2" xfId="1071"/>
    <cellStyle name="Normal 2 3 2 2 2 3 2 2" xfId="1685"/>
    <cellStyle name="Normal 2 3 2 2 2 3 2 2 2" xfId="2911"/>
    <cellStyle name="Normal 2 3 2 2 2 3 2 2 2 2" xfId="6771"/>
    <cellStyle name="Normal 2 3 2 2 2 3 2 2 2 3" xfId="11723"/>
    <cellStyle name="Normal 2 3 2 2 2 3 2 2 3" xfId="4139"/>
    <cellStyle name="Normal 2 3 2 2 2 3 2 2 3 2" xfId="7995"/>
    <cellStyle name="Normal 2 3 2 2 2 3 2 2 3 3" xfId="10481"/>
    <cellStyle name="Normal 2 3 2 2 2 3 2 2 4" xfId="5547"/>
    <cellStyle name="Normal 2 3 2 2 2 3 2 2 5" xfId="9239"/>
    <cellStyle name="Normal 2 3 2 2 2 3 2 3" xfId="2299"/>
    <cellStyle name="Normal 2 3 2 2 2 3 2 3 2" xfId="6159"/>
    <cellStyle name="Normal 2 3 2 2 2 3 2 3 3" xfId="11075"/>
    <cellStyle name="Normal 2 3 2 2 2 3 2 4" xfId="3527"/>
    <cellStyle name="Normal 2 3 2 2 2 3 2 4 2" xfId="7383"/>
    <cellStyle name="Normal 2 3 2 2 2 3 2 4 3" xfId="9833"/>
    <cellStyle name="Normal 2 3 2 2 2 3 2 5" xfId="4935"/>
    <cellStyle name="Normal 2 3 2 2 2 3 2 6" xfId="8590"/>
    <cellStyle name="Normal 2 3 2 2 2 3 3" xfId="1379"/>
    <cellStyle name="Normal 2 3 2 2 2 3 3 2" xfId="2605"/>
    <cellStyle name="Normal 2 3 2 2 2 3 3 2 2" xfId="6465"/>
    <cellStyle name="Normal 2 3 2 2 2 3 3 2 3" xfId="11417"/>
    <cellStyle name="Normal 2 3 2 2 2 3 3 3" xfId="3833"/>
    <cellStyle name="Normal 2 3 2 2 2 3 3 3 2" xfId="7689"/>
    <cellStyle name="Normal 2 3 2 2 2 3 3 3 3" xfId="10175"/>
    <cellStyle name="Normal 2 3 2 2 2 3 3 4" xfId="5241"/>
    <cellStyle name="Normal 2 3 2 2 2 3 3 5" xfId="8933"/>
    <cellStyle name="Normal 2 3 2 2 2 3 4" xfId="1993"/>
    <cellStyle name="Normal 2 3 2 2 2 3 4 2" xfId="5853"/>
    <cellStyle name="Normal 2 3 2 2 2 3 4 3" xfId="10787"/>
    <cellStyle name="Normal 2 3 2 2 2 3 5" xfId="3220"/>
    <cellStyle name="Normal 2 3 2 2 2 3 5 2" xfId="7077"/>
    <cellStyle name="Normal 2 3 2 2 2 3 5 3" xfId="11993"/>
    <cellStyle name="Normal 2 3 2 2 2 3 6" xfId="4629"/>
    <cellStyle name="Normal 2 3 2 2 2 3 6 2" xfId="9545"/>
    <cellStyle name="Normal 2 3 2 2 2 3 7" xfId="8302"/>
    <cellStyle name="Normal 2 3 2 2 2 4" xfId="631"/>
    <cellStyle name="Normal 2 3 2 2 2 4 2" xfId="981"/>
    <cellStyle name="Normal 2 3 2 2 2 4 2 2" xfId="1595"/>
    <cellStyle name="Normal 2 3 2 2 2 4 2 2 2" xfId="2821"/>
    <cellStyle name="Normal 2 3 2 2 2 4 2 2 2 2" xfId="6681"/>
    <cellStyle name="Normal 2 3 2 2 2 4 2 2 2 3" xfId="11633"/>
    <cellStyle name="Normal 2 3 2 2 2 4 2 2 3" xfId="4049"/>
    <cellStyle name="Normal 2 3 2 2 2 4 2 2 3 2" xfId="7905"/>
    <cellStyle name="Normal 2 3 2 2 2 4 2 2 3 3" xfId="10391"/>
    <cellStyle name="Normal 2 3 2 2 2 4 2 2 4" xfId="5457"/>
    <cellStyle name="Normal 2 3 2 2 2 4 2 2 5" xfId="9149"/>
    <cellStyle name="Normal 2 3 2 2 2 4 2 3" xfId="2209"/>
    <cellStyle name="Normal 2 3 2 2 2 4 2 3 2" xfId="6069"/>
    <cellStyle name="Normal 2 3 2 2 2 4 2 3 3" xfId="10985"/>
    <cellStyle name="Normal 2 3 2 2 2 4 2 4" xfId="3437"/>
    <cellStyle name="Normal 2 3 2 2 2 4 2 4 2" xfId="7293"/>
    <cellStyle name="Normal 2 3 2 2 2 4 2 4 3" xfId="9743"/>
    <cellStyle name="Normal 2 3 2 2 2 4 2 5" xfId="4845"/>
    <cellStyle name="Normal 2 3 2 2 2 4 2 6" xfId="8500"/>
    <cellStyle name="Normal 2 3 2 2 2 4 3" xfId="1289"/>
    <cellStyle name="Normal 2 3 2 2 2 4 3 2" xfId="2515"/>
    <cellStyle name="Normal 2 3 2 2 2 4 3 2 2" xfId="6375"/>
    <cellStyle name="Normal 2 3 2 2 2 4 3 2 3" xfId="11327"/>
    <cellStyle name="Normal 2 3 2 2 2 4 3 3" xfId="3743"/>
    <cellStyle name="Normal 2 3 2 2 2 4 3 3 2" xfId="7599"/>
    <cellStyle name="Normal 2 3 2 2 2 4 3 3 3" xfId="10085"/>
    <cellStyle name="Normal 2 3 2 2 2 4 3 4" xfId="5151"/>
    <cellStyle name="Normal 2 3 2 2 2 4 3 5" xfId="8843"/>
    <cellStyle name="Normal 2 3 2 2 2 4 4" xfId="1903"/>
    <cellStyle name="Normal 2 3 2 2 2 4 4 2" xfId="5763"/>
    <cellStyle name="Normal 2 3 2 2 2 4 4 3" xfId="10697"/>
    <cellStyle name="Normal 2 3 2 2 2 4 5" xfId="3130"/>
    <cellStyle name="Normal 2 3 2 2 2 4 5 2" xfId="6987"/>
    <cellStyle name="Normal 2 3 2 2 2 4 5 3" xfId="11903"/>
    <cellStyle name="Normal 2 3 2 2 2 4 6" xfId="4539"/>
    <cellStyle name="Normal 2 3 2 2 2 4 6 2" xfId="9455"/>
    <cellStyle name="Normal 2 3 2 2 2 4 7" xfId="8212"/>
    <cellStyle name="Normal 2 3 2 2 2 5" xfId="537"/>
    <cellStyle name="Normal 2 3 2 2 2 5 2" xfId="887"/>
    <cellStyle name="Normal 2 3 2 2 2 5 2 2" xfId="1505"/>
    <cellStyle name="Normal 2 3 2 2 2 5 2 2 2" xfId="2731"/>
    <cellStyle name="Normal 2 3 2 2 2 5 2 2 2 2" xfId="6591"/>
    <cellStyle name="Normal 2 3 2 2 2 5 2 2 2 3" xfId="11543"/>
    <cellStyle name="Normal 2 3 2 2 2 5 2 2 3" xfId="3959"/>
    <cellStyle name="Normal 2 3 2 2 2 5 2 2 3 2" xfId="7815"/>
    <cellStyle name="Normal 2 3 2 2 2 5 2 2 3 3" xfId="10301"/>
    <cellStyle name="Normal 2 3 2 2 2 5 2 2 4" xfId="5367"/>
    <cellStyle name="Normal 2 3 2 2 2 5 2 2 5" xfId="9059"/>
    <cellStyle name="Normal 2 3 2 2 2 5 2 3" xfId="2119"/>
    <cellStyle name="Normal 2 3 2 2 2 5 2 3 2" xfId="5979"/>
    <cellStyle name="Normal 2 3 2 2 2 5 2 3 3" xfId="11147"/>
    <cellStyle name="Normal 2 3 2 2 2 5 2 4" xfId="3347"/>
    <cellStyle name="Normal 2 3 2 2 2 5 2 4 2" xfId="7203"/>
    <cellStyle name="Normal 2 3 2 2 2 5 2 4 3" xfId="9905"/>
    <cellStyle name="Normal 2 3 2 2 2 5 2 5" xfId="4755"/>
    <cellStyle name="Normal 2 3 2 2 2 5 2 6" xfId="8663"/>
    <cellStyle name="Normal 2 3 2 2 2 5 3" xfId="1199"/>
    <cellStyle name="Normal 2 3 2 2 2 5 3 2" xfId="2425"/>
    <cellStyle name="Normal 2 3 2 2 2 5 3 2 2" xfId="6285"/>
    <cellStyle name="Normal 2 3 2 2 2 5 3 2 3" xfId="11237"/>
    <cellStyle name="Normal 2 3 2 2 2 5 3 3" xfId="3653"/>
    <cellStyle name="Normal 2 3 2 2 2 5 3 3 2" xfId="7509"/>
    <cellStyle name="Normal 2 3 2 2 2 5 3 3 3" xfId="9995"/>
    <cellStyle name="Normal 2 3 2 2 2 5 3 4" xfId="5061"/>
    <cellStyle name="Normal 2 3 2 2 2 5 3 5" xfId="8753"/>
    <cellStyle name="Normal 2 3 2 2 2 5 4" xfId="1813"/>
    <cellStyle name="Normal 2 3 2 2 2 5 4 2" xfId="5673"/>
    <cellStyle name="Normal 2 3 2 2 2 5 4 2 2" xfId="11129"/>
    <cellStyle name="Normal 2 3 2 2 2 5 4 3" xfId="9887"/>
    <cellStyle name="Normal 2 3 2 2 2 5 4 4" xfId="8644"/>
    <cellStyle name="Normal 2 3 2 2 2 5 5" xfId="3040"/>
    <cellStyle name="Normal 2 3 2 2 2 5 5 2" xfId="6897"/>
    <cellStyle name="Normal 2 3 2 2 2 5 5 3" xfId="10607"/>
    <cellStyle name="Normal 2 3 2 2 2 5 6" xfId="4449"/>
    <cellStyle name="Normal 2 3 2 2 2 5 6 2" xfId="9365"/>
    <cellStyle name="Normal 2 3 2 2 2 5 7" xfId="8122"/>
    <cellStyle name="Normal 2 3 2 2 2 6" xfId="813"/>
    <cellStyle name="Normal 2 3 2 2 2 6 2" xfId="1451"/>
    <cellStyle name="Normal 2 3 2 2 2 6 2 2" xfId="2677"/>
    <cellStyle name="Normal 2 3 2 2 2 6 2 2 2" xfId="6537"/>
    <cellStyle name="Normal 2 3 2 2 2 6 2 2 3" xfId="11489"/>
    <cellStyle name="Normal 2 3 2 2 2 6 2 3" xfId="3905"/>
    <cellStyle name="Normal 2 3 2 2 2 6 2 3 2" xfId="7761"/>
    <cellStyle name="Normal 2 3 2 2 2 6 2 3 3" xfId="10247"/>
    <cellStyle name="Normal 2 3 2 2 2 6 2 4" xfId="5313"/>
    <cellStyle name="Normal 2 3 2 2 2 6 2 5" xfId="9005"/>
    <cellStyle name="Normal 2 3 2 2 2 6 3" xfId="2065"/>
    <cellStyle name="Normal 2 3 2 2 2 6 3 2" xfId="5925"/>
    <cellStyle name="Normal 2 3 2 2 2 6 3 3" xfId="10895"/>
    <cellStyle name="Normal 2 3 2 2 2 6 4" xfId="3293"/>
    <cellStyle name="Normal 2 3 2 2 2 6 4 2" xfId="7149"/>
    <cellStyle name="Normal 2 3 2 2 2 6 4 3" xfId="9653"/>
    <cellStyle name="Normal 2 3 2 2 2 6 5" xfId="4701"/>
    <cellStyle name="Normal 2 3 2 2 2 6 6" xfId="8410"/>
    <cellStyle name="Normal 2 3 2 2 2 7" xfId="1145"/>
    <cellStyle name="Normal 2 3 2 2 2 7 2" xfId="2371"/>
    <cellStyle name="Normal 2 3 2 2 2 7 2 2" xfId="6231"/>
    <cellStyle name="Normal 2 3 2 2 2 7 2 3" xfId="11183"/>
    <cellStyle name="Normal 2 3 2 2 2 7 3" xfId="3599"/>
    <cellStyle name="Normal 2 3 2 2 2 7 3 2" xfId="7455"/>
    <cellStyle name="Normal 2 3 2 2 2 7 3 3" xfId="9941"/>
    <cellStyle name="Normal 2 3 2 2 2 7 4" xfId="5007"/>
    <cellStyle name="Normal 2 3 2 2 2 7 5" xfId="8699"/>
    <cellStyle name="Normal 2 3 2 2 2 8" xfId="1759"/>
    <cellStyle name="Normal 2 3 2 2 2 8 2" xfId="5619"/>
    <cellStyle name="Normal 2 3 2 2 2 8 3" xfId="10553"/>
    <cellStyle name="Normal 2 3 2 2 2 9" xfId="2986"/>
    <cellStyle name="Normal 2 3 2 2 2 9 2" xfId="6843"/>
    <cellStyle name="Normal 2 3 2 2 2 9 3" xfId="11813"/>
    <cellStyle name="Normal 2 3 2 2 3" xfId="558"/>
    <cellStyle name="Normal 2 3 2 2 3 2" xfId="739"/>
    <cellStyle name="Normal 2 3 2 2 3 2 2" xfId="1089"/>
    <cellStyle name="Normal 2 3 2 2 3 2 2 2" xfId="1703"/>
    <cellStyle name="Normal 2 3 2 2 3 2 2 2 2" xfId="2929"/>
    <cellStyle name="Normal 2 3 2 2 3 2 2 2 2 2" xfId="6789"/>
    <cellStyle name="Normal 2 3 2 2 3 2 2 2 2 3" xfId="11741"/>
    <cellStyle name="Normal 2 3 2 2 3 2 2 2 3" xfId="4157"/>
    <cellStyle name="Normal 2 3 2 2 3 2 2 2 3 2" xfId="8013"/>
    <cellStyle name="Normal 2 3 2 2 3 2 2 2 3 3" xfId="10499"/>
    <cellStyle name="Normal 2 3 2 2 3 2 2 2 4" xfId="5565"/>
    <cellStyle name="Normal 2 3 2 2 3 2 2 2 5" xfId="9257"/>
    <cellStyle name="Normal 2 3 2 2 3 2 2 3" xfId="2317"/>
    <cellStyle name="Normal 2 3 2 2 3 2 2 3 2" xfId="6177"/>
    <cellStyle name="Normal 2 3 2 2 3 2 2 3 3" xfId="11093"/>
    <cellStyle name="Normal 2 3 2 2 3 2 2 4" xfId="3545"/>
    <cellStyle name="Normal 2 3 2 2 3 2 2 4 2" xfId="7401"/>
    <cellStyle name="Normal 2 3 2 2 3 2 2 4 3" xfId="9851"/>
    <cellStyle name="Normal 2 3 2 2 3 2 2 5" xfId="4953"/>
    <cellStyle name="Normal 2 3 2 2 3 2 2 6" xfId="8608"/>
    <cellStyle name="Normal 2 3 2 2 3 2 3" xfId="1397"/>
    <cellStyle name="Normal 2 3 2 2 3 2 3 2" xfId="2623"/>
    <cellStyle name="Normal 2 3 2 2 3 2 3 2 2" xfId="6483"/>
    <cellStyle name="Normal 2 3 2 2 3 2 3 2 3" xfId="11435"/>
    <cellStyle name="Normal 2 3 2 2 3 2 3 3" xfId="3851"/>
    <cellStyle name="Normal 2 3 2 2 3 2 3 3 2" xfId="7707"/>
    <cellStyle name="Normal 2 3 2 2 3 2 3 3 3" xfId="10193"/>
    <cellStyle name="Normal 2 3 2 2 3 2 3 4" xfId="5259"/>
    <cellStyle name="Normal 2 3 2 2 3 2 3 5" xfId="8951"/>
    <cellStyle name="Normal 2 3 2 2 3 2 4" xfId="2011"/>
    <cellStyle name="Normal 2 3 2 2 3 2 4 2" xfId="5871"/>
    <cellStyle name="Normal 2 3 2 2 3 2 4 3" xfId="10805"/>
    <cellStyle name="Normal 2 3 2 2 3 2 5" xfId="3238"/>
    <cellStyle name="Normal 2 3 2 2 3 2 5 2" xfId="7095"/>
    <cellStyle name="Normal 2 3 2 2 3 2 5 3" xfId="12011"/>
    <cellStyle name="Normal 2 3 2 2 3 2 6" xfId="4647"/>
    <cellStyle name="Normal 2 3 2 2 3 2 6 2" xfId="9563"/>
    <cellStyle name="Normal 2 3 2 2 3 2 7" xfId="8320"/>
    <cellStyle name="Normal 2 3 2 2 3 3" xfId="649"/>
    <cellStyle name="Normal 2 3 2 2 3 3 2" xfId="999"/>
    <cellStyle name="Normal 2 3 2 2 3 3 2 2" xfId="1613"/>
    <cellStyle name="Normal 2 3 2 2 3 3 2 2 2" xfId="2839"/>
    <cellStyle name="Normal 2 3 2 2 3 3 2 2 2 2" xfId="6699"/>
    <cellStyle name="Normal 2 3 2 2 3 3 2 2 2 3" xfId="11651"/>
    <cellStyle name="Normal 2 3 2 2 3 3 2 2 3" xfId="4067"/>
    <cellStyle name="Normal 2 3 2 2 3 3 2 2 3 2" xfId="7923"/>
    <cellStyle name="Normal 2 3 2 2 3 3 2 2 3 3" xfId="10409"/>
    <cellStyle name="Normal 2 3 2 2 3 3 2 2 4" xfId="5475"/>
    <cellStyle name="Normal 2 3 2 2 3 3 2 2 5" xfId="9167"/>
    <cellStyle name="Normal 2 3 2 2 3 3 2 3" xfId="2227"/>
    <cellStyle name="Normal 2 3 2 2 3 3 2 3 2" xfId="6087"/>
    <cellStyle name="Normal 2 3 2 2 3 3 2 3 3" xfId="11003"/>
    <cellStyle name="Normal 2 3 2 2 3 3 2 4" xfId="3455"/>
    <cellStyle name="Normal 2 3 2 2 3 3 2 4 2" xfId="7311"/>
    <cellStyle name="Normal 2 3 2 2 3 3 2 4 3" xfId="9761"/>
    <cellStyle name="Normal 2 3 2 2 3 3 2 5" xfId="4863"/>
    <cellStyle name="Normal 2 3 2 2 3 3 2 6" xfId="8518"/>
    <cellStyle name="Normal 2 3 2 2 3 3 3" xfId="1307"/>
    <cellStyle name="Normal 2 3 2 2 3 3 3 2" xfId="2533"/>
    <cellStyle name="Normal 2 3 2 2 3 3 3 2 2" xfId="6393"/>
    <cellStyle name="Normal 2 3 2 2 3 3 3 2 3" xfId="11345"/>
    <cellStyle name="Normal 2 3 2 2 3 3 3 3" xfId="3761"/>
    <cellStyle name="Normal 2 3 2 2 3 3 3 3 2" xfId="7617"/>
    <cellStyle name="Normal 2 3 2 2 3 3 3 3 3" xfId="10103"/>
    <cellStyle name="Normal 2 3 2 2 3 3 3 4" xfId="5169"/>
    <cellStyle name="Normal 2 3 2 2 3 3 3 5" xfId="8861"/>
    <cellStyle name="Normal 2 3 2 2 3 3 4" xfId="1921"/>
    <cellStyle name="Normal 2 3 2 2 3 3 4 2" xfId="5781"/>
    <cellStyle name="Normal 2 3 2 2 3 3 4 3" xfId="10715"/>
    <cellStyle name="Normal 2 3 2 2 3 3 5" xfId="3148"/>
    <cellStyle name="Normal 2 3 2 2 3 3 5 2" xfId="7005"/>
    <cellStyle name="Normal 2 3 2 2 3 3 5 3" xfId="11921"/>
    <cellStyle name="Normal 2 3 2 2 3 3 6" xfId="4557"/>
    <cellStyle name="Normal 2 3 2 2 3 3 6 2" xfId="9473"/>
    <cellStyle name="Normal 2 3 2 2 3 3 7" xfId="8230"/>
    <cellStyle name="Normal 2 3 2 2 3 4" xfId="908"/>
    <cellStyle name="Normal 2 3 2 2 3 4 2" xfId="1523"/>
    <cellStyle name="Normal 2 3 2 2 3 4 2 2" xfId="2749"/>
    <cellStyle name="Normal 2 3 2 2 3 4 2 2 2" xfId="6609"/>
    <cellStyle name="Normal 2 3 2 2 3 4 2 2 3" xfId="11561"/>
    <cellStyle name="Normal 2 3 2 2 3 4 2 3" xfId="3977"/>
    <cellStyle name="Normal 2 3 2 2 3 4 2 3 2" xfId="7833"/>
    <cellStyle name="Normal 2 3 2 2 3 4 2 3 3" xfId="10319"/>
    <cellStyle name="Normal 2 3 2 2 3 4 2 4" xfId="5385"/>
    <cellStyle name="Normal 2 3 2 2 3 4 2 5" xfId="9077"/>
    <cellStyle name="Normal 2 3 2 2 3 4 3" xfId="2137"/>
    <cellStyle name="Normal 2 3 2 2 3 4 3 2" xfId="5997"/>
    <cellStyle name="Normal 2 3 2 2 3 4 3 3" xfId="10913"/>
    <cellStyle name="Normal 2 3 2 2 3 4 4" xfId="3365"/>
    <cellStyle name="Normal 2 3 2 2 3 4 4 2" xfId="7221"/>
    <cellStyle name="Normal 2 3 2 2 3 4 4 3" xfId="9671"/>
    <cellStyle name="Normal 2 3 2 2 3 4 5" xfId="4773"/>
    <cellStyle name="Normal 2 3 2 2 3 4 6" xfId="8428"/>
    <cellStyle name="Normal 2 3 2 2 3 5" xfId="1217"/>
    <cellStyle name="Normal 2 3 2 2 3 5 2" xfId="2443"/>
    <cellStyle name="Normal 2 3 2 2 3 5 2 2" xfId="6303"/>
    <cellStyle name="Normal 2 3 2 2 3 5 2 3" xfId="11255"/>
    <cellStyle name="Normal 2 3 2 2 3 5 3" xfId="3671"/>
    <cellStyle name="Normal 2 3 2 2 3 5 3 2" xfId="7527"/>
    <cellStyle name="Normal 2 3 2 2 3 5 3 3" xfId="10013"/>
    <cellStyle name="Normal 2 3 2 2 3 5 4" xfId="5079"/>
    <cellStyle name="Normal 2 3 2 2 3 5 5" xfId="8771"/>
    <cellStyle name="Normal 2 3 2 2 3 6" xfId="1831"/>
    <cellStyle name="Normal 2 3 2 2 3 6 2" xfId="5691"/>
    <cellStyle name="Normal 2 3 2 2 3 6 3" xfId="10625"/>
    <cellStyle name="Normal 2 3 2 2 3 7" xfId="3058"/>
    <cellStyle name="Normal 2 3 2 2 3 7 2" xfId="6915"/>
    <cellStyle name="Normal 2 3 2 2 3 7 3" xfId="11831"/>
    <cellStyle name="Normal 2 3 2 2 3 8" xfId="4467"/>
    <cellStyle name="Normal 2 3 2 2 3 8 2" xfId="9383"/>
    <cellStyle name="Normal 2 3 2 2 3 9" xfId="8140"/>
    <cellStyle name="Normal 2 3 2 2 4" xfId="501"/>
    <cellStyle name="Normal 2 3 2 2 4 2" xfId="703"/>
    <cellStyle name="Normal 2 3 2 2 4 2 2" xfId="1053"/>
    <cellStyle name="Normal 2 3 2 2 4 2 2 2" xfId="1667"/>
    <cellStyle name="Normal 2 3 2 2 4 2 2 2 2" xfId="2893"/>
    <cellStyle name="Normal 2 3 2 2 4 2 2 2 2 2" xfId="6753"/>
    <cellStyle name="Normal 2 3 2 2 4 2 2 2 2 3" xfId="11705"/>
    <cellStyle name="Normal 2 3 2 2 4 2 2 2 3" xfId="4121"/>
    <cellStyle name="Normal 2 3 2 2 4 2 2 2 3 2" xfId="7977"/>
    <cellStyle name="Normal 2 3 2 2 4 2 2 2 3 3" xfId="10463"/>
    <cellStyle name="Normal 2 3 2 2 4 2 2 2 4" xfId="5529"/>
    <cellStyle name="Normal 2 3 2 2 4 2 2 2 5" xfId="9221"/>
    <cellStyle name="Normal 2 3 2 2 4 2 2 3" xfId="2281"/>
    <cellStyle name="Normal 2 3 2 2 4 2 2 3 2" xfId="6141"/>
    <cellStyle name="Normal 2 3 2 2 4 2 2 3 3" xfId="11057"/>
    <cellStyle name="Normal 2 3 2 2 4 2 2 4" xfId="3509"/>
    <cellStyle name="Normal 2 3 2 2 4 2 2 4 2" xfId="7365"/>
    <cellStyle name="Normal 2 3 2 2 4 2 2 4 3" xfId="9815"/>
    <cellStyle name="Normal 2 3 2 2 4 2 2 5" xfId="4917"/>
    <cellStyle name="Normal 2 3 2 2 4 2 2 6" xfId="8572"/>
    <cellStyle name="Normal 2 3 2 2 4 2 3" xfId="1361"/>
    <cellStyle name="Normal 2 3 2 2 4 2 3 2" xfId="2587"/>
    <cellStyle name="Normal 2 3 2 2 4 2 3 2 2" xfId="6447"/>
    <cellStyle name="Normal 2 3 2 2 4 2 3 2 3" xfId="11399"/>
    <cellStyle name="Normal 2 3 2 2 4 2 3 3" xfId="3815"/>
    <cellStyle name="Normal 2 3 2 2 4 2 3 3 2" xfId="7671"/>
    <cellStyle name="Normal 2 3 2 2 4 2 3 3 3" xfId="10157"/>
    <cellStyle name="Normal 2 3 2 2 4 2 3 4" xfId="5223"/>
    <cellStyle name="Normal 2 3 2 2 4 2 3 5" xfId="8915"/>
    <cellStyle name="Normal 2 3 2 2 4 2 4" xfId="1975"/>
    <cellStyle name="Normal 2 3 2 2 4 2 4 2" xfId="5835"/>
    <cellStyle name="Normal 2 3 2 2 4 2 4 3" xfId="10769"/>
    <cellStyle name="Normal 2 3 2 2 4 2 5" xfId="3202"/>
    <cellStyle name="Normal 2 3 2 2 4 2 5 2" xfId="7059"/>
    <cellStyle name="Normal 2 3 2 2 4 2 5 3" xfId="11975"/>
    <cellStyle name="Normal 2 3 2 2 4 2 6" xfId="4611"/>
    <cellStyle name="Normal 2 3 2 2 4 2 6 2" xfId="9527"/>
    <cellStyle name="Normal 2 3 2 2 4 2 7" xfId="8284"/>
    <cellStyle name="Normal 2 3 2 2 4 3" xfId="613"/>
    <cellStyle name="Normal 2 3 2 2 4 3 2" xfId="963"/>
    <cellStyle name="Normal 2 3 2 2 4 3 2 2" xfId="1577"/>
    <cellStyle name="Normal 2 3 2 2 4 3 2 2 2" xfId="2803"/>
    <cellStyle name="Normal 2 3 2 2 4 3 2 2 2 2" xfId="6663"/>
    <cellStyle name="Normal 2 3 2 2 4 3 2 2 2 3" xfId="11615"/>
    <cellStyle name="Normal 2 3 2 2 4 3 2 2 3" xfId="4031"/>
    <cellStyle name="Normal 2 3 2 2 4 3 2 2 3 2" xfId="7887"/>
    <cellStyle name="Normal 2 3 2 2 4 3 2 2 3 3" xfId="10373"/>
    <cellStyle name="Normal 2 3 2 2 4 3 2 2 4" xfId="5439"/>
    <cellStyle name="Normal 2 3 2 2 4 3 2 2 5" xfId="9131"/>
    <cellStyle name="Normal 2 3 2 2 4 3 2 3" xfId="2191"/>
    <cellStyle name="Normal 2 3 2 2 4 3 2 3 2" xfId="6051"/>
    <cellStyle name="Normal 2 3 2 2 4 3 2 3 3" xfId="10967"/>
    <cellStyle name="Normal 2 3 2 2 4 3 2 4" xfId="3419"/>
    <cellStyle name="Normal 2 3 2 2 4 3 2 4 2" xfId="7275"/>
    <cellStyle name="Normal 2 3 2 2 4 3 2 4 3" xfId="9725"/>
    <cellStyle name="Normal 2 3 2 2 4 3 2 5" xfId="4827"/>
    <cellStyle name="Normal 2 3 2 2 4 3 2 6" xfId="8482"/>
    <cellStyle name="Normal 2 3 2 2 4 3 3" xfId="1271"/>
    <cellStyle name="Normal 2 3 2 2 4 3 3 2" xfId="2497"/>
    <cellStyle name="Normal 2 3 2 2 4 3 3 2 2" xfId="6357"/>
    <cellStyle name="Normal 2 3 2 2 4 3 3 2 3" xfId="11309"/>
    <cellStyle name="Normal 2 3 2 2 4 3 3 3" xfId="3725"/>
    <cellStyle name="Normal 2 3 2 2 4 3 3 3 2" xfId="7581"/>
    <cellStyle name="Normal 2 3 2 2 4 3 3 3 3" xfId="10067"/>
    <cellStyle name="Normal 2 3 2 2 4 3 3 4" xfId="5133"/>
    <cellStyle name="Normal 2 3 2 2 4 3 3 5" xfId="8825"/>
    <cellStyle name="Normal 2 3 2 2 4 3 4" xfId="1885"/>
    <cellStyle name="Normal 2 3 2 2 4 3 4 2" xfId="5745"/>
    <cellStyle name="Normal 2 3 2 2 4 3 4 3" xfId="10679"/>
    <cellStyle name="Normal 2 3 2 2 4 3 5" xfId="3112"/>
    <cellStyle name="Normal 2 3 2 2 4 3 5 2" xfId="6969"/>
    <cellStyle name="Normal 2 3 2 2 4 3 5 3" xfId="11885"/>
    <cellStyle name="Normal 2 3 2 2 4 3 6" xfId="4521"/>
    <cellStyle name="Normal 2 3 2 2 4 3 6 2" xfId="9437"/>
    <cellStyle name="Normal 2 3 2 2 4 3 7" xfId="8194"/>
    <cellStyle name="Normal 2 3 2 2 4 4" xfId="851"/>
    <cellStyle name="Normal 2 3 2 2 4 4 2" xfId="1487"/>
    <cellStyle name="Normal 2 3 2 2 4 4 2 2" xfId="2713"/>
    <cellStyle name="Normal 2 3 2 2 4 4 2 2 2" xfId="6573"/>
    <cellStyle name="Normal 2 3 2 2 4 4 2 2 3" xfId="11525"/>
    <cellStyle name="Normal 2 3 2 2 4 4 2 3" xfId="3941"/>
    <cellStyle name="Normal 2 3 2 2 4 4 2 3 2" xfId="7797"/>
    <cellStyle name="Normal 2 3 2 2 4 4 2 3 3" xfId="10283"/>
    <cellStyle name="Normal 2 3 2 2 4 4 2 4" xfId="5349"/>
    <cellStyle name="Normal 2 3 2 2 4 4 2 5" xfId="9041"/>
    <cellStyle name="Normal 2 3 2 2 4 4 3" xfId="2101"/>
    <cellStyle name="Normal 2 3 2 2 4 4 3 2" xfId="5961"/>
    <cellStyle name="Normal 2 3 2 2 4 4 3 3" xfId="10877"/>
    <cellStyle name="Normal 2 3 2 2 4 4 4" xfId="3329"/>
    <cellStyle name="Normal 2 3 2 2 4 4 4 2" xfId="7185"/>
    <cellStyle name="Normal 2 3 2 2 4 4 4 3" xfId="9635"/>
    <cellStyle name="Normal 2 3 2 2 4 4 5" xfId="4737"/>
    <cellStyle name="Normal 2 3 2 2 4 4 6" xfId="8392"/>
    <cellStyle name="Normal 2 3 2 2 4 5" xfId="1181"/>
    <cellStyle name="Normal 2 3 2 2 4 5 2" xfId="2407"/>
    <cellStyle name="Normal 2 3 2 2 4 5 2 2" xfId="6267"/>
    <cellStyle name="Normal 2 3 2 2 4 5 2 3" xfId="11219"/>
    <cellStyle name="Normal 2 3 2 2 4 5 3" xfId="3635"/>
    <cellStyle name="Normal 2 3 2 2 4 5 3 2" xfId="7491"/>
    <cellStyle name="Normal 2 3 2 2 4 5 3 3" xfId="9977"/>
    <cellStyle name="Normal 2 3 2 2 4 5 4" xfId="5043"/>
    <cellStyle name="Normal 2 3 2 2 4 5 5" xfId="8735"/>
    <cellStyle name="Normal 2 3 2 2 4 6" xfId="1795"/>
    <cellStyle name="Normal 2 3 2 2 4 6 2" xfId="5655"/>
    <cellStyle name="Normal 2 3 2 2 4 6 3" xfId="10589"/>
    <cellStyle name="Normal 2 3 2 2 4 7" xfId="3022"/>
    <cellStyle name="Normal 2 3 2 2 4 7 2" xfId="6879"/>
    <cellStyle name="Normal 2 3 2 2 4 7 3" xfId="11795"/>
    <cellStyle name="Normal 2 3 2 2 4 8" xfId="4431"/>
    <cellStyle name="Normal 2 3 2 2 4 8 2" xfId="9347"/>
    <cellStyle name="Normal 2 3 2 2 4 9" xfId="8104"/>
    <cellStyle name="Normal 2 3 2 2 5" xfId="685"/>
    <cellStyle name="Normal 2 3 2 2 5 2" xfId="1035"/>
    <cellStyle name="Normal 2 3 2 2 5 2 2" xfId="1649"/>
    <cellStyle name="Normal 2 3 2 2 5 2 2 2" xfId="2875"/>
    <cellStyle name="Normal 2 3 2 2 5 2 2 2 2" xfId="6735"/>
    <cellStyle name="Normal 2 3 2 2 5 2 2 2 3" xfId="11687"/>
    <cellStyle name="Normal 2 3 2 2 5 2 2 3" xfId="4103"/>
    <cellStyle name="Normal 2 3 2 2 5 2 2 3 2" xfId="7959"/>
    <cellStyle name="Normal 2 3 2 2 5 2 2 3 3" xfId="10445"/>
    <cellStyle name="Normal 2 3 2 2 5 2 2 4" xfId="5511"/>
    <cellStyle name="Normal 2 3 2 2 5 2 2 5" xfId="9203"/>
    <cellStyle name="Normal 2 3 2 2 5 2 3" xfId="2263"/>
    <cellStyle name="Normal 2 3 2 2 5 2 3 2" xfId="6123"/>
    <cellStyle name="Normal 2 3 2 2 5 2 3 3" xfId="11039"/>
    <cellStyle name="Normal 2 3 2 2 5 2 4" xfId="3491"/>
    <cellStyle name="Normal 2 3 2 2 5 2 4 2" xfId="7347"/>
    <cellStyle name="Normal 2 3 2 2 5 2 4 3" xfId="9797"/>
    <cellStyle name="Normal 2 3 2 2 5 2 5" xfId="4899"/>
    <cellStyle name="Normal 2 3 2 2 5 2 6" xfId="8554"/>
    <cellStyle name="Normal 2 3 2 2 5 3" xfId="1343"/>
    <cellStyle name="Normal 2 3 2 2 5 3 2" xfId="2569"/>
    <cellStyle name="Normal 2 3 2 2 5 3 2 2" xfId="6429"/>
    <cellStyle name="Normal 2 3 2 2 5 3 2 3" xfId="11381"/>
    <cellStyle name="Normal 2 3 2 2 5 3 3" xfId="3797"/>
    <cellStyle name="Normal 2 3 2 2 5 3 3 2" xfId="7653"/>
    <cellStyle name="Normal 2 3 2 2 5 3 3 3" xfId="10139"/>
    <cellStyle name="Normal 2 3 2 2 5 3 4" xfId="5205"/>
    <cellStyle name="Normal 2 3 2 2 5 3 5" xfId="8897"/>
    <cellStyle name="Normal 2 3 2 2 5 4" xfId="1957"/>
    <cellStyle name="Normal 2 3 2 2 5 4 2" xfId="5817"/>
    <cellStyle name="Normal 2 3 2 2 5 4 3" xfId="10751"/>
    <cellStyle name="Normal 2 3 2 2 5 5" xfId="3184"/>
    <cellStyle name="Normal 2 3 2 2 5 5 2" xfId="7041"/>
    <cellStyle name="Normal 2 3 2 2 5 5 3" xfId="11957"/>
    <cellStyle name="Normal 2 3 2 2 5 6" xfId="4593"/>
    <cellStyle name="Normal 2 3 2 2 5 6 2" xfId="9509"/>
    <cellStyle name="Normal 2 3 2 2 5 7" xfId="8266"/>
    <cellStyle name="Normal 2 3 2 2 6" xfId="595"/>
    <cellStyle name="Normal 2 3 2 2 6 2" xfId="945"/>
    <cellStyle name="Normal 2 3 2 2 6 2 2" xfId="1559"/>
    <cellStyle name="Normal 2 3 2 2 6 2 2 2" xfId="2785"/>
    <cellStyle name="Normal 2 3 2 2 6 2 2 2 2" xfId="6645"/>
    <cellStyle name="Normal 2 3 2 2 6 2 2 2 3" xfId="11597"/>
    <cellStyle name="Normal 2 3 2 2 6 2 2 3" xfId="4013"/>
    <cellStyle name="Normal 2 3 2 2 6 2 2 3 2" xfId="7869"/>
    <cellStyle name="Normal 2 3 2 2 6 2 2 3 3" xfId="10355"/>
    <cellStyle name="Normal 2 3 2 2 6 2 2 4" xfId="5421"/>
    <cellStyle name="Normal 2 3 2 2 6 2 2 5" xfId="9113"/>
    <cellStyle name="Normal 2 3 2 2 6 2 3" xfId="2173"/>
    <cellStyle name="Normal 2 3 2 2 6 2 3 2" xfId="6033"/>
    <cellStyle name="Normal 2 3 2 2 6 2 3 3" xfId="10949"/>
    <cellStyle name="Normal 2 3 2 2 6 2 4" xfId="3401"/>
    <cellStyle name="Normal 2 3 2 2 6 2 4 2" xfId="7257"/>
    <cellStyle name="Normal 2 3 2 2 6 2 4 3" xfId="9707"/>
    <cellStyle name="Normal 2 3 2 2 6 2 5" xfId="4809"/>
    <cellStyle name="Normal 2 3 2 2 6 2 6" xfId="8464"/>
    <cellStyle name="Normal 2 3 2 2 6 3" xfId="1253"/>
    <cellStyle name="Normal 2 3 2 2 6 3 2" xfId="2479"/>
    <cellStyle name="Normal 2 3 2 2 6 3 2 2" xfId="6339"/>
    <cellStyle name="Normal 2 3 2 2 6 3 2 3" xfId="11291"/>
    <cellStyle name="Normal 2 3 2 2 6 3 3" xfId="3707"/>
    <cellStyle name="Normal 2 3 2 2 6 3 3 2" xfId="7563"/>
    <cellStyle name="Normal 2 3 2 2 6 3 3 3" xfId="10049"/>
    <cellStyle name="Normal 2 3 2 2 6 3 4" xfId="5115"/>
    <cellStyle name="Normal 2 3 2 2 6 3 5" xfId="8807"/>
    <cellStyle name="Normal 2 3 2 2 6 4" xfId="1867"/>
    <cellStyle name="Normal 2 3 2 2 6 4 2" xfId="5727"/>
    <cellStyle name="Normal 2 3 2 2 6 4 3" xfId="10661"/>
    <cellStyle name="Normal 2 3 2 2 6 5" xfId="3094"/>
    <cellStyle name="Normal 2 3 2 2 6 5 2" xfId="6951"/>
    <cellStyle name="Normal 2 3 2 2 6 5 3" xfId="11867"/>
    <cellStyle name="Normal 2 3 2 2 6 6" xfId="4503"/>
    <cellStyle name="Normal 2 3 2 2 6 6 2" xfId="9419"/>
    <cellStyle name="Normal 2 3 2 2 6 7" xfId="8176"/>
    <cellStyle name="Normal 2 3 2 2 7" xfId="481"/>
    <cellStyle name="Normal 2 3 2 2 7 2" xfId="831"/>
    <cellStyle name="Normal 2 3 2 2 7 2 2" xfId="1469"/>
    <cellStyle name="Normal 2 3 2 2 7 2 2 2" xfId="2695"/>
    <cellStyle name="Normal 2 3 2 2 7 2 2 2 2" xfId="6555"/>
    <cellStyle name="Normal 2 3 2 2 7 2 2 2 3" xfId="11507"/>
    <cellStyle name="Normal 2 3 2 2 7 2 2 3" xfId="3923"/>
    <cellStyle name="Normal 2 3 2 2 7 2 2 3 2" xfId="7779"/>
    <cellStyle name="Normal 2 3 2 2 7 2 2 3 3" xfId="10265"/>
    <cellStyle name="Normal 2 3 2 2 7 2 2 4" xfId="5331"/>
    <cellStyle name="Normal 2 3 2 2 7 2 2 5" xfId="9023"/>
    <cellStyle name="Normal 2 3 2 2 7 2 3" xfId="2083"/>
    <cellStyle name="Normal 2 3 2 2 7 2 3 2" xfId="5943"/>
    <cellStyle name="Normal 2 3 2 2 7 2 3 3" xfId="10859"/>
    <cellStyle name="Normal 2 3 2 2 7 2 4" xfId="3311"/>
    <cellStyle name="Normal 2 3 2 2 7 2 4 2" xfId="7167"/>
    <cellStyle name="Normal 2 3 2 2 7 2 4 3" xfId="9617"/>
    <cellStyle name="Normal 2 3 2 2 7 2 5" xfId="4719"/>
    <cellStyle name="Normal 2 3 2 2 7 2 6" xfId="8374"/>
    <cellStyle name="Normal 2 3 2 2 7 3" xfId="1163"/>
    <cellStyle name="Normal 2 3 2 2 7 3 2" xfId="2389"/>
    <cellStyle name="Normal 2 3 2 2 7 3 2 2" xfId="6249"/>
    <cellStyle name="Normal 2 3 2 2 7 3 2 3" xfId="11201"/>
    <cellStyle name="Normal 2 3 2 2 7 3 3" xfId="3617"/>
    <cellStyle name="Normal 2 3 2 2 7 3 3 2" xfId="7473"/>
    <cellStyle name="Normal 2 3 2 2 7 3 3 3" xfId="9959"/>
    <cellStyle name="Normal 2 3 2 2 7 3 4" xfId="5025"/>
    <cellStyle name="Normal 2 3 2 2 7 3 5" xfId="8717"/>
    <cellStyle name="Normal 2 3 2 2 7 4" xfId="1777"/>
    <cellStyle name="Normal 2 3 2 2 7 4 2" xfId="5637"/>
    <cellStyle name="Normal 2 3 2 2 7 4 3" xfId="10571"/>
    <cellStyle name="Normal 2 3 2 2 7 5" xfId="3004"/>
    <cellStyle name="Normal 2 3 2 2 7 5 2" xfId="6861"/>
    <cellStyle name="Normal 2 3 2 2 7 5 3" xfId="12047"/>
    <cellStyle name="Normal 2 3 2 2 7 6" xfId="4413"/>
    <cellStyle name="Normal 2 3 2 2 7 6 2" xfId="9329"/>
    <cellStyle name="Normal 2 3 2 2 7 7" xfId="8086"/>
    <cellStyle name="Normal 2 3 2 2 8" xfId="793"/>
    <cellStyle name="Normal 2 3 2 2 8 2" xfId="1433"/>
    <cellStyle name="Normal 2 3 2 2 8 2 2" xfId="2659"/>
    <cellStyle name="Normal 2 3 2 2 8 2 2 2" xfId="6519"/>
    <cellStyle name="Normal 2 3 2 2 8 2 2 3" xfId="11471"/>
    <cellStyle name="Normal 2 3 2 2 8 2 3" xfId="3887"/>
    <cellStyle name="Normal 2 3 2 2 8 2 3 2" xfId="7743"/>
    <cellStyle name="Normal 2 3 2 2 8 2 3 3" xfId="10229"/>
    <cellStyle name="Normal 2 3 2 2 8 2 4" xfId="5295"/>
    <cellStyle name="Normal 2 3 2 2 8 2 5" xfId="8987"/>
    <cellStyle name="Normal 2 3 2 2 8 3" xfId="2047"/>
    <cellStyle name="Normal 2 3 2 2 8 3 2" xfId="5907"/>
    <cellStyle name="Normal 2 3 2 2 8 3 3" xfId="10841"/>
    <cellStyle name="Normal 2 3 2 2 8 4" xfId="3275"/>
    <cellStyle name="Normal 2 3 2 2 8 4 2" xfId="7131"/>
    <cellStyle name="Normal 2 3 2 2 8 4 3" xfId="9599"/>
    <cellStyle name="Normal 2 3 2 2 8 5" xfId="4683"/>
    <cellStyle name="Normal 2 3 2 2 8 6" xfId="8356"/>
    <cellStyle name="Normal 2 3 2 2 9" xfId="1127"/>
    <cellStyle name="Normal 2 3 2 2 9 2" xfId="2353"/>
    <cellStyle name="Normal 2 3 2 2 9 2 2" xfId="6213"/>
    <cellStyle name="Normal 2 3 2 2 9 2 3" xfId="11165"/>
    <cellStyle name="Normal 2 3 2 2 9 3" xfId="3581"/>
    <cellStyle name="Normal 2 3 2 2 9 3 2" xfId="7437"/>
    <cellStyle name="Normal 2 3 2 2 9 3 3" xfId="9923"/>
    <cellStyle name="Normal 2 3 2 2 9 4" xfId="4989"/>
    <cellStyle name="Normal 2 3 2 2 9 5" xfId="8681"/>
    <cellStyle name="Normal 2 3 2 3" xfId="462"/>
    <cellStyle name="Normal 2 3 2 3 10" xfId="4394"/>
    <cellStyle name="Normal 2 3 2 3 10 2" xfId="9310"/>
    <cellStyle name="Normal 2 3 2 3 11" xfId="8067"/>
    <cellStyle name="Normal 2 3 2 3 2" xfId="575"/>
    <cellStyle name="Normal 2 3 2 3 2 2" xfId="756"/>
    <cellStyle name="Normal 2 3 2 3 2 2 2" xfId="1106"/>
    <cellStyle name="Normal 2 3 2 3 2 2 2 2" xfId="1720"/>
    <cellStyle name="Normal 2 3 2 3 2 2 2 2 2" xfId="2946"/>
    <cellStyle name="Normal 2 3 2 3 2 2 2 2 2 2" xfId="6806"/>
    <cellStyle name="Normal 2 3 2 3 2 2 2 2 2 3" xfId="11758"/>
    <cellStyle name="Normal 2 3 2 3 2 2 2 2 3" xfId="4174"/>
    <cellStyle name="Normal 2 3 2 3 2 2 2 2 3 2" xfId="8030"/>
    <cellStyle name="Normal 2 3 2 3 2 2 2 2 3 3" xfId="10516"/>
    <cellStyle name="Normal 2 3 2 3 2 2 2 2 4" xfId="5582"/>
    <cellStyle name="Normal 2 3 2 3 2 2 2 2 5" xfId="9274"/>
    <cellStyle name="Normal 2 3 2 3 2 2 2 3" xfId="2334"/>
    <cellStyle name="Normal 2 3 2 3 2 2 2 3 2" xfId="6194"/>
    <cellStyle name="Normal 2 3 2 3 2 2 2 3 3" xfId="11110"/>
    <cellStyle name="Normal 2 3 2 3 2 2 2 4" xfId="3562"/>
    <cellStyle name="Normal 2 3 2 3 2 2 2 4 2" xfId="7418"/>
    <cellStyle name="Normal 2 3 2 3 2 2 2 4 3" xfId="9868"/>
    <cellStyle name="Normal 2 3 2 3 2 2 2 5" xfId="4970"/>
    <cellStyle name="Normal 2 3 2 3 2 2 2 6" xfId="8625"/>
    <cellStyle name="Normal 2 3 2 3 2 2 3" xfId="1414"/>
    <cellStyle name="Normal 2 3 2 3 2 2 3 2" xfId="2640"/>
    <cellStyle name="Normal 2 3 2 3 2 2 3 2 2" xfId="6500"/>
    <cellStyle name="Normal 2 3 2 3 2 2 3 2 3" xfId="11452"/>
    <cellStyle name="Normal 2 3 2 3 2 2 3 3" xfId="3868"/>
    <cellStyle name="Normal 2 3 2 3 2 2 3 3 2" xfId="7724"/>
    <cellStyle name="Normal 2 3 2 3 2 2 3 3 3" xfId="10210"/>
    <cellStyle name="Normal 2 3 2 3 2 2 3 4" xfId="5276"/>
    <cellStyle name="Normal 2 3 2 3 2 2 3 5" xfId="8968"/>
    <cellStyle name="Normal 2 3 2 3 2 2 4" xfId="2028"/>
    <cellStyle name="Normal 2 3 2 3 2 2 4 2" xfId="5888"/>
    <cellStyle name="Normal 2 3 2 3 2 2 4 3" xfId="10822"/>
    <cellStyle name="Normal 2 3 2 3 2 2 5" xfId="3255"/>
    <cellStyle name="Normal 2 3 2 3 2 2 5 2" xfId="7112"/>
    <cellStyle name="Normal 2 3 2 3 2 2 5 3" xfId="12028"/>
    <cellStyle name="Normal 2 3 2 3 2 2 6" xfId="4664"/>
    <cellStyle name="Normal 2 3 2 3 2 2 6 2" xfId="9580"/>
    <cellStyle name="Normal 2 3 2 3 2 2 7" xfId="8337"/>
    <cellStyle name="Normal 2 3 2 3 2 3" xfId="666"/>
    <cellStyle name="Normal 2 3 2 3 2 3 2" xfId="1016"/>
    <cellStyle name="Normal 2 3 2 3 2 3 2 2" xfId="1630"/>
    <cellStyle name="Normal 2 3 2 3 2 3 2 2 2" xfId="2856"/>
    <cellStyle name="Normal 2 3 2 3 2 3 2 2 2 2" xfId="6716"/>
    <cellStyle name="Normal 2 3 2 3 2 3 2 2 2 3" xfId="11668"/>
    <cellStyle name="Normal 2 3 2 3 2 3 2 2 3" xfId="4084"/>
    <cellStyle name="Normal 2 3 2 3 2 3 2 2 3 2" xfId="7940"/>
    <cellStyle name="Normal 2 3 2 3 2 3 2 2 3 3" xfId="10426"/>
    <cellStyle name="Normal 2 3 2 3 2 3 2 2 4" xfId="5492"/>
    <cellStyle name="Normal 2 3 2 3 2 3 2 2 5" xfId="9184"/>
    <cellStyle name="Normal 2 3 2 3 2 3 2 3" xfId="2244"/>
    <cellStyle name="Normal 2 3 2 3 2 3 2 3 2" xfId="6104"/>
    <cellStyle name="Normal 2 3 2 3 2 3 2 3 3" xfId="11020"/>
    <cellStyle name="Normal 2 3 2 3 2 3 2 4" xfId="3472"/>
    <cellStyle name="Normal 2 3 2 3 2 3 2 4 2" xfId="7328"/>
    <cellStyle name="Normal 2 3 2 3 2 3 2 4 3" xfId="9778"/>
    <cellStyle name="Normal 2 3 2 3 2 3 2 5" xfId="4880"/>
    <cellStyle name="Normal 2 3 2 3 2 3 2 6" xfId="8535"/>
    <cellStyle name="Normal 2 3 2 3 2 3 3" xfId="1324"/>
    <cellStyle name="Normal 2 3 2 3 2 3 3 2" xfId="2550"/>
    <cellStyle name="Normal 2 3 2 3 2 3 3 2 2" xfId="6410"/>
    <cellStyle name="Normal 2 3 2 3 2 3 3 2 3" xfId="11362"/>
    <cellStyle name="Normal 2 3 2 3 2 3 3 3" xfId="3778"/>
    <cellStyle name="Normal 2 3 2 3 2 3 3 3 2" xfId="7634"/>
    <cellStyle name="Normal 2 3 2 3 2 3 3 3 3" xfId="10120"/>
    <cellStyle name="Normal 2 3 2 3 2 3 3 4" xfId="5186"/>
    <cellStyle name="Normal 2 3 2 3 2 3 3 5" xfId="8878"/>
    <cellStyle name="Normal 2 3 2 3 2 3 4" xfId="1938"/>
    <cellStyle name="Normal 2 3 2 3 2 3 4 2" xfId="5798"/>
    <cellStyle name="Normal 2 3 2 3 2 3 4 3" xfId="10732"/>
    <cellStyle name="Normal 2 3 2 3 2 3 5" xfId="3165"/>
    <cellStyle name="Normal 2 3 2 3 2 3 5 2" xfId="7022"/>
    <cellStyle name="Normal 2 3 2 3 2 3 5 3" xfId="11938"/>
    <cellStyle name="Normal 2 3 2 3 2 3 6" xfId="4574"/>
    <cellStyle name="Normal 2 3 2 3 2 3 6 2" xfId="9490"/>
    <cellStyle name="Normal 2 3 2 3 2 3 7" xfId="8247"/>
    <cellStyle name="Normal 2 3 2 3 2 4" xfId="925"/>
    <cellStyle name="Normal 2 3 2 3 2 4 2" xfId="1540"/>
    <cellStyle name="Normal 2 3 2 3 2 4 2 2" xfId="2766"/>
    <cellStyle name="Normal 2 3 2 3 2 4 2 2 2" xfId="6626"/>
    <cellStyle name="Normal 2 3 2 3 2 4 2 2 3" xfId="11578"/>
    <cellStyle name="Normal 2 3 2 3 2 4 2 3" xfId="3994"/>
    <cellStyle name="Normal 2 3 2 3 2 4 2 3 2" xfId="7850"/>
    <cellStyle name="Normal 2 3 2 3 2 4 2 3 3" xfId="10336"/>
    <cellStyle name="Normal 2 3 2 3 2 4 2 4" xfId="5402"/>
    <cellStyle name="Normal 2 3 2 3 2 4 2 5" xfId="9094"/>
    <cellStyle name="Normal 2 3 2 3 2 4 3" xfId="2154"/>
    <cellStyle name="Normal 2 3 2 3 2 4 3 2" xfId="6014"/>
    <cellStyle name="Normal 2 3 2 3 2 4 3 3" xfId="10930"/>
    <cellStyle name="Normal 2 3 2 3 2 4 4" xfId="3382"/>
    <cellStyle name="Normal 2 3 2 3 2 4 4 2" xfId="7238"/>
    <cellStyle name="Normal 2 3 2 3 2 4 4 3" xfId="9688"/>
    <cellStyle name="Normal 2 3 2 3 2 4 5" xfId="4790"/>
    <cellStyle name="Normal 2 3 2 3 2 4 6" xfId="8445"/>
    <cellStyle name="Normal 2 3 2 3 2 5" xfId="1234"/>
    <cellStyle name="Normal 2 3 2 3 2 5 2" xfId="2460"/>
    <cellStyle name="Normal 2 3 2 3 2 5 2 2" xfId="6320"/>
    <cellStyle name="Normal 2 3 2 3 2 5 2 3" xfId="11272"/>
    <cellStyle name="Normal 2 3 2 3 2 5 3" xfId="3688"/>
    <cellStyle name="Normal 2 3 2 3 2 5 3 2" xfId="7544"/>
    <cellStyle name="Normal 2 3 2 3 2 5 3 3" xfId="10030"/>
    <cellStyle name="Normal 2 3 2 3 2 5 4" xfId="5096"/>
    <cellStyle name="Normal 2 3 2 3 2 5 5" xfId="8788"/>
    <cellStyle name="Normal 2 3 2 3 2 6" xfId="1848"/>
    <cellStyle name="Normal 2 3 2 3 2 6 2" xfId="5708"/>
    <cellStyle name="Normal 2 3 2 3 2 6 3" xfId="10642"/>
    <cellStyle name="Normal 2 3 2 3 2 7" xfId="3075"/>
    <cellStyle name="Normal 2 3 2 3 2 7 2" xfId="6932"/>
    <cellStyle name="Normal 2 3 2 3 2 7 3" xfId="11848"/>
    <cellStyle name="Normal 2 3 2 3 2 8" xfId="4484"/>
    <cellStyle name="Normal 2 3 2 3 2 8 2" xfId="9400"/>
    <cellStyle name="Normal 2 3 2 3 2 9" xfId="8157"/>
    <cellStyle name="Normal 2 3 2 3 3" xfId="720"/>
    <cellStyle name="Normal 2 3 2 3 3 2" xfId="1070"/>
    <cellStyle name="Normal 2 3 2 3 3 2 2" xfId="1684"/>
    <cellStyle name="Normal 2 3 2 3 3 2 2 2" xfId="2910"/>
    <cellStyle name="Normal 2 3 2 3 3 2 2 2 2" xfId="6770"/>
    <cellStyle name="Normal 2 3 2 3 3 2 2 2 3" xfId="11722"/>
    <cellStyle name="Normal 2 3 2 3 3 2 2 3" xfId="4138"/>
    <cellStyle name="Normal 2 3 2 3 3 2 2 3 2" xfId="7994"/>
    <cellStyle name="Normal 2 3 2 3 3 2 2 3 3" xfId="10480"/>
    <cellStyle name="Normal 2 3 2 3 3 2 2 4" xfId="5546"/>
    <cellStyle name="Normal 2 3 2 3 3 2 2 5" xfId="9238"/>
    <cellStyle name="Normal 2 3 2 3 3 2 3" xfId="2298"/>
    <cellStyle name="Normal 2 3 2 3 3 2 3 2" xfId="6158"/>
    <cellStyle name="Normal 2 3 2 3 3 2 3 3" xfId="11074"/>
    <cellStyle name="Normal 2 3 2 3 3 2 4" xfId="3526"/>
    <cellStyle name="Normal 2 3 2 3 3 2 4 2" xfId="7382"/>
    <cellStyle name="Normal 2 3 2 3 3 2 4 3" xfId="9832"/>
    <cellStyle name="Normal 2 3 2 3 3 2 5" xfId="4934"/>
    <cellStyle name="Normal 2 3 2 3 3 2 6" xfId="8589"/>
    <cellStyle name="Normal 2 3 2 3 3 3" xfId="1378"/>
    <cellStyle name="Normal 2 3 2 3 3 3 2" xfId="2604"/>
    <cellStyle name="Normal 2 3 2 3 3 3 2 2" xfId="6464"/>
    <cellStyle name="Normal 2 3 2 3 3 3 2 3" xfId="11416"/>
    <cellStyle name="Normal 2 3 2 3 3 3 3" xfId="3832"/>
    <cellStyle name="Normal 2 3 2 3 3 3 3 2" xfId="7688"/>
    <cellStyle name="Normal 2 3 2 3 3 3 3 3" xfId="10174"/>
    <cellStyle name="Normal 2 3 2 3 3 3 4" xfId="5240"/>
    <cellStyle name="Normal 2 3 2 3 3 3 5" xfId="8932"/>
    <cellStyle name="Normal 2 3 2 3 3 4" xfId="1992"/>
    <cellStyle name="Normal 2 3 2 3 3 4 2" xfId="5852"/>
    <cellStyle name="Normal 2 3 2 3 3 4 3" xfId="10786"/>
    <cellStyle name="Normal 2 3 2 3 3 5" xfId="3219"/>
    <cellStyle name="Normal 2 3 2 3 3 5 2" xfId="7076"/>
    <cellStyle name="Normal 2 3 2 3 3 5 3" xfId="11992"/>
    <cellStyle name="Normal 2 3 2 3 3 6" xfId="4628"/>
    <cellStyle name="Normal 2 3 2 3 3 6 2" xfId="9544"/>
    <cellStyle name="Normal 2 3 2 3 3 7" xfId="8301"/>
    <cellStyle name="Normal 2 3 2 3 4" xfId="630"/>
    <cellStyle name="Normal 2 3 2 3 4 2" xfId="980"/>
    <cellStyle name="Normal 2 3 2 3 4 2 2" xfId="1594"/>
    <cellStyle name="Normal 2 3 2 3 4 2 2 2" xfId="2820"/>
    <cellStyle name="Normal 2 3 2 3 4 2 2 2 2" xfId="6680"/>
    <cellStyle name="Normal 2 3 2 3 4 2 2 2 3" xfId="11632"/>
    <cellStyle name="Normal 2 3 2 3 4 2 2 3" xfId="4048"/>
    <cellStyle name="Normal 2 3 2 3 4 2 2 3 2" xfId="7904"/>
    <cellStyle name="Normal 2 3 2 3 4 2 2 3 3" xfId="10390"/>
    <cellStyle name="Normal 2 3 2 3 4 2 2 4" xfId="5456"/>
    <cellStyle name="Normal 2 3 2 3 4 2 2 5" xfId="9148"/>
    <cellStyle name="Normal 2 3 2 3 4 2 3" xfId="2208"/>
    <cellStyle name="Normal 2 3 2 3 4 2 3 2" xfId="6068"/>
    <cellStyle name="Normal 2 3 2 3 4 2 3 3" xfId="10984"/>
    <cellStyle name="Normal 2 3 2 3 4 2 4" xfId="3436"/>
    <cellStyle name="Normal 2 3 2 3 4 2 4 2" xfId="7292"/>
    <cellStyle name="Normal 2 3 2 3 4 2 4 3" xfId="9742"/>
    <cellStyle name="Normal 2 3 2 3 4 2 5" xfId="4844"/>
    <cellStyle name="Normal 2 3 2 3 4 2 6" xfId="8499"/>
    <cellStyle name="Normal 2 3 2 3 4 3" xfId="1288"/>
    <cellStyle name="Normal 2 3 2 3 4 3 2" xfId="2514"/>
    <cellStyle name="Normal 2 3 2 3 4 3 2 2" xfId="6374"/>
    <cellStyle name="Normal 2 3 2 3 4 3 2 3" xfId="11326"/>
    <cellStyle name="Normal 2 3 2 3 4 3 3" xfId="3742"/>
    <cellStyle name="Normal 2 3 2 3 4 3 3 2" xfId="7598"/>
    <cellStyle name="Normal 2 3 2 3 4 3 3 3" xfId="10084"/>
    <cellStyle name="Normal 2 3 2 3 4 3 4" xfId="5150"/>
    <cellStyle name="Normal 2 3 2 3 4 3 5" xfId="8842"/>
    <cellStyle name="Normal 2 3 2 3 4 4" xfId="1902"/>
    <cellStyle name="Normal 2 3 2 3 4 4 2" xfId="5762"/>
    <cellStyle name="Normal 2 3 2 3 4 4 3" xfId="10696"/>
    <cellStyle name="Normal 2 3 2 3 4 5" xfId="3129"/>
    <cellStyle name="Normal 2 3 2 3 4 5 2" xfId="6986"/>
    <cellStyle name="Normal 2 3 2 3 4 5 3" xfId="11902"/>
    <cellStyle name="Normal 2 3 2 3 4 6" xfId="4538"/>
    <cellStyle name="Normal 2 3 2 3 4 6 2" xfId="9454"/>
    <cellStyle name="Normal 2 3 2 3 4 7" xfId="8211"/>
    <cellStyle name="Normal 2 3 2 3 5" xfId="536"/>
    <cellStyle name="Normal 2 3 2 3 5 2" xfId="886"/>
    <cellStyle name="Normal 2 3 2 3 5 2 2" xfId="1504"/>
    <cellStyle name="Normal 2 3 2 3 5 2 2 2" xfId="2730"/>
    <cellStyle name="Normal 2 3 2 3 5 2 2 2 2" xfId="6590"/>
    <cellStyle name="Normal 2 3 2 3 5 2 2 2 3" xfId="11542"/>
    <cellStyle name="Normal 2 3 2 3 5 2 2 3" xfId="3958"/>
    <cellStyle name="Normal 2 3 2 3 5 2 2 3 2" xfId="7814"/>
    <cellStyle name="Normal 2 3 2 3 5 2 2 3 3" xfId="10300"/>
    <cellStyle name="Normal 2 3 2 3 5 2 2 4" xfId="5366"/>
    <cellStyle name="Normal 2 3 2 3 5 2 2 5" xfId="9058"/>
    <cellStyle name="Normal 2 3 2 3 5 2 3" xfId="2118"/>
    <cellStyle name="Normal 2 3 2 3 5 2 3 2" xfId="5978"/>
    <cellStyle name="Normal 2 3 2 3 5 2 3 3" xfId="11146"/>
    <cellStyle name="Normal 2 3 2 3 5 2 4" xfId="3346"/>
    <cellStyle name="Normal 2 3 2 3 5 2 4 2" xfId="7202"/>
    <cellStyle name="Normal 2 3 2 3 5 2 4 3" xfId="9904"/>
    <cellStyle name="Normal 2 3 2 3 5 2 5" xfId="4754"/>
    <cellStyle name="Normal 2 3 2 3 5 2 6" xfId="8662"/>
    <cellStyle name="Normal 2 3 2 3 5 3" xfId="1198"/>
    <cellStyle name="Normal 2 3 2 3 5 3 2" xfId="2424"/>
    <cellStyle name="Normal 2 3 2 3 5 3 2 2" xfId="6284"/>
    <cellStyle name="Normal 2 3 2 3 5 3 2 3" xfId="11236"/>
    <cellStyle name="Normal 2 3 2 3 5 3 3" xfId="3652"/>
    <cellStyle name="Normal 2 3 2 3 5 3 3 2" xfId="7508"/>
    <cellStyle name="Normal 2 3 2 3 5 3 3 3" xfId="9994"/>
    <cellStyle name="Normal 2 3 2 3 5 3 4" xfId="5060"/>
    <cellStyle name="Normal 2 3 2 3 5 3 5" xfId="8752"/>
    <cellStyle name="Normal 2 3 2 3 5 4" xfId="1812"/>
    <cellStyle name="Normal 2 3 2 3 5 4 2" xfId="5672"/>
    <cellStyle name="Normal 2 3 2 3 5 4 2 2" xfId="11128"/>
    <cellStyle name="Normal 2 3 2 3 5 4 3" xfId="9886"/>
    <cellStyle name="Normal 2 3 2 3 5 4 4" xfId="8643"/>
    <cellStyle name="Normal 2 3 2 3 5 5" xfId="3039"/>
    <cellStyle name="Normal 2 3 2 3 5 5 2" xfId="6896"/>
    <cellStyle name="Normal 2 3 2 3 5 5 3" xfId="10606"/>
    <cellStyle name="Normal 2 3 2 3 5 6" xfId="4448"/>
    <cellStyle name="Normal 2 3 2 3 5 6 2" xfId="9364"/>
    <cellStyle name="Normal 2 3 2 3 5 7" xfId="8121"/>
    <cellStyle name="Normal 2 3 2 3 6" xfId="812"/>
    <cellStyle name="Normal 2 3 2 3 6 2" xfId="1450"/>
    <cellStyle name="Normal 2 3 2 3 6 2 2" xfId="2676"/>
    <cellStyle name="Normal 2 3 2 3 6 2 2 2" xfId="6536"/>
    <cellStyle name="Normal 2 3 2 3 6 2 2 3" xfId="11488"/>
    <cellStyle name="Normal 2 3 2 3 6 2 3" xfId="3904"/>
    <cellStyle name="Normal 2 3 2 3 6 2 3 2" xfId="7760"/>
    <cellStyle name="Normal 2 3 2 3 6 2 3 3" xfId="10246"/>
    <cellStyle name="Normal 2 3 2 3 6 2 4" xfId="5312"/>
    <cellStyle name="Normal 2 3 2 3 6 2 5" xfId="9004"/>
    <cellStyle name="Normal 2 3 2 3 6 3" xfId="2064"/>
    <cellStyle name="Normal 2 3 2 3 6 3 2" xfId="5924"/>
    <cellStyle name="Normal 2 3 2 3 6 3 3" xfId="10894"/>
    <cellStyle name="Normal 2 3 2 3 6 4" xfId="3292"/>
    <cellStyle name="Normal 2 3 2 3 6 4 2" xfId="7148"/>
    <cellStyle name="Normal 2 3 2 3 6 4 3" xfId="9652"/>
    <cellStyle name="Normal 2 3 2 3 6 5" xfId="4700"/>
    <cellStyle name="Normal 2 3 2 3 6 6" xfId="8409"/>
    <cellStyle name="Normal 2 3 2 3 7" xfId="1144"/>
    <cellStyle name="Normal 2 3 2 3 7 2" xfId="2370"/>
    <cellStyle name="Normal 2 3 2 3 7 2 2" xfId="6230"/>
    <cellStyle name="Normal 2 3 2 3 7 2 3" xfId="11182"/>
    <cellStyle name="Normal 2 3 2 3 7 3" xfId="3598"/>
    <cellStyle name="Normal 2 3 2 3 7 3 2" xfId="7454"/>
    <cellStyle name="Normal 2 3 2 3 7 3 3" xfId="9940"/>
    <cellStyle name="Normal 2 3 2 3 7 4" xfId="5006"/>
    <cellStyle name="Normal 2 3 2 3 7 5" xfId="8698"/>
    <cellStyle name="Normal 2 3 2 3 8" xfId="1758"/>
    <cellStyle name="Normal 2 3 2 3 8 2" xfId="5618"/>
    <cellStyle name="Normal 2 3 2 3 8 3" xfId="10552"/>
    <cellStyle name="Normal 2 3 2 3 9" xfId="2985"/>
    <cellStyle name="Normal 2 3 2 3 9 2" xfId="6842"/>
    <cellStyle name="Normal 2 3 2 3 9 3" xfId="11812"/>
    <cellStyle name="Normal 2 3 2 4" xfId="557"/>
    <cellStyle name="Normal 2 3 2 4 2" xfId="738"/>
    <cellStyle name="Normal 2 3 2 4 2 2" xfId="1088"/>
    <cellStyle name="Normal 2 3 2 4 2 2 2" xfId="1702"/>
    <cellStyle name="Normal 2 3 2 4 2 2 2 2" xfId="2928"/>
    <cellStyle name="Normal 2 3 2 4 2 2 2 2 2" xfId="6788"/>
    <cellStyle name="Normal 2 3 2 4 2 2 2 2 3" xfId="11740"/>
    <cellStyle name="Normal 2 3 2 4 2 2 2 3" xfId="4156"/>
    <cellStyle name="Normal 2 3 2 4 2 2 2 3 2" xfId="8012"/>
    <cellStyle name="Normal 2 3 2 4 2 2 2 3 3" xfId="10498"/>
    <cellStyle name="Normal 2 3 2 4 2 2 2 4" xfId="5564"/>
    <cellStyle name="Normal 2 3 2 4 2 2 2 5" xfId="9256"/>
    <cellStyle name="Normal 2 3 2 4 2 2 3" xfId="2316"/>
    <cellStyle name="Normal 2 3 2 4 2 2 3 2" xfId="6176"/>
    <cellStyle name="Normal 2 3 2 4 2 2 3 3" xfId="11092"/>
    <cellStyle name="Normal 2 3 2 4 2 2 4" xfId="3544"/>
    <cellStyle name="Normal 2 3 2 4 2 2 4 2" xfId="7400"/>
    <cellStyle name="Normal 2 3 2 4 2 2 4 3" xfId="9850"/>
    <cellStyle name="Normal 2 3 2 4 2 2 5" xfId="4952"/>
    <cellStyle name="Normal 2 3 2 4 2 2 6" xfId="8607"/>
    <cellStyle name="Normal 2 3 2 4 2 3" xfId="1396"/>
    <cellStyle name="Normal 2 3 2 4 2 3 2" xfId="2622"/>
    <cellStyle name="Normal 2 3 2 4 2 3 2 2" xfId="6482"/>
    <cellStyle name="Normal 2 3 2 4 2 3 2 3" xfId="11434"/>
    <cellStyle name="Normal 2 3 2 4 2 3 3" xfId="3850"/>
    <cellStyle name="Normal 2 3 2 4 2 3 3 2" xfId="7706"/>
    <cellStyle name="Normal 2 3 2 4 2 3 3 3" xfId="10192"/>
    <cellStyle name="Normal 2 3 2 4 2 3 4" xfId="5258"/>
    <cellStyle name="Normal 2 3 2 4 2 3 5" xfId="8950"/>
    <cellStyle name="Normal 2 3 2 4 2 4" xfId="2010"/>
    <cellStyle name="Normal 2 3 2 4 2 4 2" xfId="5870"/>
    <cellStyle name="Normal 2 3 2 4 2 4 3" xfId="10804"/>
    <cellStyle name="Normal 2 3 2 4 2 5" xfId="3237"/>
    <cellStyle name="Normal 2 3 2 4 2 5 2" xfId="7094"/>
    <cellStyle name="Normal 2 3 2 4 2 5 3" xfId="12010"/>
    <cellStyle name="Normal 2 3 2 4 2 6" xfId="4646"/>
    <cellStyle name="Normal 2 3 2 4 2 6 2" xfId="9562"/>
    <cellStyle name="Normal 2 3 2 4 2 7" xfId="8319"/>
    <cellStyle name="Normal 2 3 2 4 3" xfId="648"/>
    <cellStyle name="Normal 2 3 2 4 3 2" xfId="998"/>
    <cellStyle name="Normal 2 3 2 4 3 2 2" xfId="1612"/>
    <cellStyle name="Normal 2 3 2 4 3 2 2 2" xfId="2838"/>
    <cellStyle name="Normal 2 3 2 4 3 2 2 2 2" xfId="6698"/>
    <cellStyle name="Normal 2 3 2 4 3 2 2 2 3" xfId="11650"/>
    <cellStyle name="Normal 2 3 2 4 3 2 2 3" xfId="4066"/>
    <cellStyle name="Normal 2 3 2 4 3 2 2 3 2" xfId="7922"/>
    <cellStyle name="Normal 2 3 2 4 3 2 2 3 3" xfId="10408"/>
    <cellStyle name="Normal 2 3 2 4 3 2 2 4" xfId="5474"/>
    <cellStyle name="Normal 2 3 2 4 3 2 2 5" xfId="9166"/>
    <cellStyle name="Normal 2 3 2 4 3 2 3" xfId="2226"/>
    <cellStyle name="Normal 2 3 2 4 3 2 3 2" xfId="6086"/>
    <cellStyle name="Normal 2 3 2 4 3 2 3 3" xfId="11002"/>
    <cellStyle name="Normal 2 3 2 4 3 2 4" xfId="3454"/>
    <cellStyle name="Normal 2 3 2 4 3 2 4 2" xfId="7310"/>
    <cellStyle name="Normal 2 3 2 4 3 2 4 3" xfId="9760"/>
    <cellStyle name="Normal 2 3 2 4 3 2 5" xfId="4862"/>
    <cellStyle name="Normal 2 3 2 4 3 2 6" xfId="8517"/>
    <cellStyle name="Normal 2 3 2 4 3 3" xfId="1306"/>
    <cellStyle name="Normal 2 3 2 4 3 3 2" xfId="2532"/>
    <cellStyle name="Normal 2 3 2 4 3 3 2 2" xfId="6392"/>
    <cellStyle name="Normal 2 3 2 4 3 3 2 3" xfId="11344"/>
    <cellStyle name="Normal 2 3 2 4 3 3 3" xfId="3760"/>
    <cellStyle name="Normal 2 3 2 4 3 3 3 2" xfId="7616"/>
    <cellStyle name="Normal 2 3 2 4 3 3 3 3" xfId="10102"/>
    <cellStyle name="Normal 2 3 2 4 3 3 4" xfId="5168"/>
    <cellStyle name="Normal 2 3 2 4 3 3 5" xfId="8860"/>
    <cellStyle name="Normal 2 3 2 4 3 4" xfId="1920"/>
    <cellStyle name="Normal 2 3 2 4 3 4 2" xfId="5780"/>
    <cellStyle name="Normal 2 3 2 4 3 4 3" xfId="10714"/>
    <cellStyle name="Normal 2 3 2 4 3 5" xfId="3147"/>
    <cellStyle name="Normal 2 3 2 4 3 5 2" xfId="7004"/>
    <cellStyle name="Normal 2 3 2 4 3 5 3" xfId="11920"/>
    <cellStyle name="Normal 2 3 2 4 3 6" xfId="4556"/>
    <cellStyle name="Normal 2 3 2 4 3 6 2" xfId="9472"/>
    <cellStyle name="Normal 2 3 2 4 3 7" xfId="8229"/>
    <cellStyle name="Normal 2 3 2 4 4" xfId="907"/>
    <cellStyle name="Normal 2 3 2 4 4 2" xfId="1522"/>
    <cellStyle name="Normal 2 3 2 4 4 2 2" xfId="2748"/>
    <cellStyle name="Normal 2 3 2 4 4 2 2 2" xfId="6608"/>
    <cellStyle name="Normal 2 3 2 4 4 2 2 3" xfId="11560"/>
    <cellStyle name="Normal 2 3 2 4 4 2 3" xfId="3976"/>
    <cellStyle name="Normal 2 3 2 4 4 2 3 2" xfId="7832"/>
    <cellStyle name="Normal 2 3 2 4 4 2 3 3" xfId="10318"/>
    <cellStyle name="Normal 2 3 2 4 4 2 4" xfId="5384"/>
    <cellStyle name="Normal 2 3 2 4 4 2 5" xfId="9076"/>
    <cellStyle name="Normal 2 3 2 4 4 3" xfId="2136"/>
    <cellStyle name="Normal 2 3 2 4 4 3 2" xfId="5996"/>
    <cellStyle name="Normal 2 3 2 4 4 3 3" xfId="10912"/>
    <cellStyle name="Normal 2 3 2 4 4 4" xfId="3364"/>
    <cellStyle name="Normal 2 3 2 4 4 4 2" xfId="7220"/>
    <cellStyle name="Normal 2 3 2 4 4 4 3" xfId="9670"/>
    <cellStyle name="Normal 2 3 2 4 4 5" xfId="4772"/>
    <cellStyle name="Normal 2 3 2 4 4 6" xfId="8427"/>
    <cellStyle name="Normal 2 3 2 4 5" xfId="1216"/>
    <cellStyle name="Normal 2 3 2 4 5 2" xfId="2442"/>
    <cellStyle name="Normal 2 3 2 4 5 2 2" xfId="6302"/>
    <cellStyle name="Normal 2 3 2 4 5 2 3" xfId="11254"/>
    <cellStyle name="Normal 2 3 2 4 5 3" xfId="3670"/>
    <cellStyle name="Normal 2 3 2 4 5 3 2" xfId="7526"/>
    <cellStyle name="Normal 2 3 2 4 5 3 3" xfId="10012"/>
    <cellStyle name="Normal 2 3 2 4 5 4" xfId="5078"/>
    <cellStyle name="Normal 2 3 2 4 5 5" xfId="8770"/>
    <cellStyle name="Normal 2 3 2 4 6" xfId="1830"/>
    <cellStyle name="Normal 2 3 2 4 6 2" xfId="5690"/>
    <cellStyle name="Normal 2 3 2 4 6 3" xfId="10624"/>
    <cellStyle name="Normal 2 3 2 4 7" xfId="3057"/>
    <cellStyle name="Normal 2 3 2 4 7 2" xfId="6914"/>
    <cellStyle name="Normal 2 3 2 4 7 3" xfId="11830"/>
    <cellStyle name="Normal 2 3 2 4 8" xfId="4466"/>
    <cellStyle name="Normal 2 3 2 4 8 2" xfId="9382"/>
    <cellStyle name="Normal 2 3 2 4 9" xfId="8139"/>
    <cellStyle name="Normal 2 3 2 5" xfId="500"/>
    <cellStyle name="Normal 2 3 2 5 2" xfId="702"/>
    <cellStyle name="Normal 2 3 2 5 2 2" xfId="1052"/>
    <cellStyle name="Normal 2 3 2 5 2 2 2" xfId="1666"/>
    <cellStyle name="Normal 2 3 2 5 2 2 2 2" xfId="2892"/>
    <cellStyle name="Normal 2 3 2 5 2 2 2 2 2" xfId="6752"/>
    <cellStyle name="Normal 2 3 2 5 2 2 2 2 3" xfId="11704"/>
    <cellStyle name="Normal 2 3 2 5 2 2 2 3" xfId="4120"/>
    <cellStyle name="Normal 2 3 2 5 2 2 2 3 2" xfId="7976"/>
    <cellStyle name="Normal 2 3 2 5 2 2 2 3 3" xfId="10462"/>
    <cellStyle name="Normal 2 3 2 5 2 2 2 4" xfId="5528"/>
    <cellStyle name="Normal 2 3 2 5 2 2 2 5" xfId="9220"/>
    <cellStyle name="Normal 2 3 2 5 2 2 3" xfId="2280"/>
    <cellStyle name="Normal 2 3 2 5 2 2 3 2" xfId="6140"/>
    <cellStyle name="Normal 2 3 2 5 2 2 3 3" xfId="11056"/>
    <cellStyle name="Normal 2 3 2 5 2 2 4" xfId="3508"/>
    <cellStyle name="Normal 2 3 2 5 2 2 4 2" xfId="7364"/>
    <cellStyle name="Normal 2 3 2 5 2 2 4 3" xfId="9814"/>
    <cellStyle name="Normal 2 3 2 5 2 2 5" xfId="4916"/>
    <cellStyle name="Normal 2 3 2 5 2 2 6" xfId="8571"/>
    <cellStyle name="Normal 2 3 2 5 2 3" xfId="1360"/>
    <cellStyle name="Normal 2 3 2 5 2 3 2" xfId="2586"/>
    <cellStyle name="Normal 2 3 2 5 2 3 2 2" xfId="6446"/>
    <cellStyle name="Normal 2 3 2 5 2 3 2 3" xfId="11398"/>
    <cellStyle name="Normal 2 3 2 5 2 3 3" xfId="3814"/>
    <cellStyle name="Normal 2 3 2 5 2 3 3 2" xfId="7670"/>
    <cellStyle name="Normal 2 3 2 5 2 3 3 3" xfId="10156"/>
    <cellStyle name="Normal 2 3 2 5 2 3 4" xfId="5222"/>
    <cellStyle name="Normal 2 3 2 5 2 3 5" xfId="8914"/>
    <cellStyle name="Normal 2 3 2 5 2 4" xfId="1974"/>
    <cellStyle name="Normal 2 3 2 5 2 4 2" xfId="5834"/>
    <cellStyle name="Normal 2 3 2 5 2 4 3" xfId="10768"/>
    <cellStyle name="Normal 2 3 2 5 2 5" xfId="3201"/>
    <cellStyle name="Normal 2 3 2 5 2 5 2" xfId="7058"/>
    <cellStyle name="Normal 2 3 2 5 2 5 3" xfId="11974"/>
    <cellStyle name="Normal 2 3 2 5 2 6" xfId="4610"/>
    <cellStyle name="Normal 2 3 2 5 2 6 2" xfId="9526"/>
    <cellStyle name="Normal 2 3 2 5 2 7" xfId="8283"/>
    <cellStyle name="Normal 2 3 2 5 3" xfId="612"/>
    <cellStyle name="Normal 2 3 2 5 3 2" xfId="962"/>
    <cellStyle name="Normal 2 3 2 5 3 2 2" xfId="1576"/>
    <cellStyle name="Normal 2 3 2 5 3 2 2 2" xfId="2802"/>
    <cellStyle name="Normal 2 3 2 5 3 2 2 2 2" xfId="6662"/>
    <cellStyle name="Normal 2 3 2 5 3 2 2 2 3" xfId="11614"/>
    <cellStyle name="Normal 2 3 2 5 3 2 2 3" xfId="4030"/>
    <cellStyle name="Normal 2 3 2 5 3 2 2 3 2" xfId="7886"/>
    <cellStyle name="Normal 2 3 2 5 3 2 2 3 3" xfId="10372"/>
    <cellStyle name="Normal 2 3 2 5 3 2 2 4" xfId="5438"/>
    <cellStyle name="Normal 2 3 2 5 3 2 2 5" xfId="9130"/>
    <cellStyle name="Normal 2 3 2 5 3 2 3" xfId="2190"/>
    <cellStyle name="Normal 2 3 2 5 3 2 3 2" xfId="6050"/>
    <cellStyle name="Normal 2 3 2 5 3 2 3 3" xfId="10966"/>
    <cellStyle name="Normal 2 3 2 5 3 2 4" xfId="3418"/>
    <cellStyle name="Normal 2 3 2 5 3 2 4 2" xfId="7274"/>
    <cellStyle name="Normal 2 3 2 5 3 2 4 3" xfId="9724"/>
    <cellStyle name="Normal 2 3 2 5 3 2 5" xfId="4826"/>
    <cellStyle name="Normal 2 3 2 5 3 2 6" xfId="8481"/>
    <cellStyle name="Normal 2 3 2 5 3 3" xfId="1270"/>
    <cellStyle name="Normal 2 3 2 5 3 3 2" xfId="2496"/>
    <cellStyle name="Normal 2 3 2 5 3 3 2 2" xfId="6356"/>
    <cellStyle name="Normal 2 3 2 5 3 3 2 3" xfId="11308"/>
    <cellStyle name="Normal 2 3 2 5 3 3 3" xfId="3724"/>
    <cellStyle name="Normal 2 3 2 5 3 3 3 2" xfId="7580"/>
    <cellStyle name="Normal 2 3 2 5 3 3 3 3" xfId="10066"/>
    <cellStyle name="Normal 2 3 2 5 3 3 4" xfId="5132"/>
    <cellStyle name="Normal 2 3 2 5 3 3 5" xfId="8824"/>
    <cellStyle name="Normal 2 3 2 5 3 4" xfId="1884"/>
    <cellStyle name="Normal 2 3 2 5 3 4 2" xfId="5744"/>
    <cellStyle name="Normal 2 3 2 5 3 4 3" xfId="10678"/>
    <cellStyle name="Normal 2 3 2 5 3 5" xfId="3111"/>
    <cellStyle name="Normal 2 3 2 5 3 5 2" xfId="6968"/>
    <cellStyle name="Normal 2 3 2 5 3 5 3" xfId="11884"/>
    <cellStyle name="Normal 2 3 2 5 3 6" xfId="4520"/>
    <cellStyle name="Normal 2 3 2 5 3 6 2" xfId="9436"/>
    <cellStyle name="Normal 2 3 2 5 3 7" xfId="8193"/>
    <cellStyle name="Normal 2 3 2 5 4" xfId="850"/>
    <cellStyle name="Normal 2 3 2 5 4 2" xfId="1486"/>
    <cellStyle name="Normal 2 3 2 5 4 2 2" xfId="2712"/>
    <cellStyle name="Normal 2 3 2 5 4 2 2 2" xfId="6572"/>
    <cellStyle name="Normal 2 3 2 5 4 2 2 3" xfId="11524"/>
    <cellStyle name="Normal 2 3 2 5 4 2 3" xfId="3940"/>
    <cellStyle name="Normal 2 3 2 5 4 2 3 2" xfId="7796"/>
    <cellStyle name="Normal 2 3 2 5 4 2 3 3" xfId="10282"/>
    <cellStyle name="Normal 2 3 2 5 4 2 4" xfId="5348"/>
    <cellStyle name="Normal 2 3 2 5 4 2 5" xfId="9040"/>
    <cellStyle name="Normal 2 3 2 5 4 3" xfId="2100"/>
    <cellStyle name="Normal 2 3 2 5 4 3 2" xfId="5960"/>
    <cellStyle name="Normal 2 3 2 5 4 3 3" xfId="10876"/>
    <cellStyle name="Normal 2 3 2 5 4 4" xfId="3328"/>
    <cellStyle name="Normal 2 3 2 5 4 4 2" xfId="7184"/>
    <cellStyle name="Normal 2 3 2 5 4 4 3" xfId="9634"/>
    <cellStyle name="Normal 2 3 2 5 4 5" xfId="4736"/>
    <cellStyle name="Normal 2 3 2 5 4 6" xfId="8391"/>
    <cellStyle name="Normal 2 3 2 5 5" xfId="1180"/>
    <cellStyle name="Normal 2 3 2 5 5 2" xfId="2406"/>
    <cellStyle name="Normal 2 3 2 5 5 2 2" xfId="6266"/>
    <cellStyle name="Normal 2 3 2 5 5 2 3" xfId="11218"/>
    <cellStyle name="Normal 2 3 2 5 5 3" xfId="3634"/>
    <cellStyle name="Normal 2 3 2 5 5 3 2" xfId="7490"/>
    <cellStyle name="Normal 2 3 2 5 5 3 3" xfId="9976"/>
    <cellStyle name="Normal 2 3 2 5 5 4" xfId="5042"/>
    <cellStyle name="Normal 2 3 2 5 5 5" xfId="8734"/>
    <cellStyle name="Normal 2 3 2 5 6" xfId="1794"/>
    <cellStyle name="Normal 2 3 2 5 6 2" xfId="5654"/>
    <cellStyle name="Normal 2 3 2 5 6 3" xfId="10588"/>
    <cellStyle name="Normal 2 3 2 5 7" xfId="3021"/>
    <cellStyle name="Normal 2 3 2 5 7 2" xfId="6878"/>
    <cellStyle name="Normal 2 3 2 5 7 3" xfId="11794"/>
    <cellStyle name="Normal 2 3 2 5 8" xfId="4430"/>
    <cellStyle name="Normal 2 3 2 5 8 2" xfId="9346"/>
    <cellStyle name="Normal 2 3 2 5 9" xfId="8103"/>
    <cellStyle name="Normal 2 3 2 6" xfId="684"/>
    <cellStyle name="Normal 2 3 2 6 2" xfId="1034"/>
    <cellStyle name="Normal 2 3 2 6 2 2" xfId="1648"/>
    <cellStyle name="Normal 2 3 2 6 2 2 2" xfId="2874"/>
    <cellStyle name="Normal 2 3 2 6 2 2 2 2" xfId="6734"/>
    <cellStyle name="Normal 2 3 2 6 2 2 2 3" xfId="11686"/>
    <cellStyle name="Normal 2 3 2 6 2 2 3" xfId="4102"/>
    <cellStyle name="Normal 2 3 2 6 2 2 3 2" xfId="7958"/>
    <cellStyle name="Normal 2 3 2 6 2 2 3 3" xfId="10444"/>
    <cellStyle name="Normal 2 3 2 6 2 2 4" xfId="5510"/>
    <cellStyle name="Normal 2 3 2 6 2 2 5" xfId="9202"/>
    <cellStyle name="Normal 2 3 2 6 2 3" xfId="2262"/>
    <cellStyle name="Normal 2 3 2 6 2 3 2" xfId="6122"/>
    <cellStyle name="Normal 2 3 2 6 2 3 3" xfId="11038"/>
    <cellStyle name="Normal 2 3 2 6 2 4" xfId="3490"/>
    <cellStyle name="Normal 2 3 2 6 2 4 2" xfId="7346"/>
    <cellStyle name="Normal 2 3 2 6 2 4 3" xfId="9796"/>
    <cellStyle name="Normal 2 3 2 6 2 5" xfId="4898"/>
    <cellStyle name="Normal 2 3 2 6 2 6" xfId="8553"/>
    <cellStyle name="Normal 2 3 2 6 3" xfId="1342"/>
    <cellStyle name="Normal 2 3 2 6 3 2" xfId="2568"/>
    <cellStyle name="Normal 2 3 2 6 3 2 2" xfId="6428"/>
    <cellStyle name="Normal 2 3 2 6 3 2 3" xfId="11380"/>
    <cellStyle name="Normal 2 3 2 6 3 3" xfId="3796"/>
    <cellStyle name="Normal 2 3 2 6 3 3 2" xfId="7652"/>
    <cellStyle name="Normal 2 3 2 6 3 3 3" xfId="10138"/>
    <cellStyle name="Normal 2 3 2 6 3 4" xfId="5204"/>
    <cellStyle name="Normal 2 3 2 6 3 5" xfId="8896"/>
    <cellStyle name="Normal 2 3 2 6 4" xfId="1956"/>
    <cellStyle name="Normal 2 3 2 6 4 2" xfId="5816"/>
    <cellStyle name="Normal 2 3 2 6 4 3" xfId="10750"/>
    <cellStyle name="Normal 2 3 2 6 5" xfId="3183"/>
    <cellStyle name="Normal 2 3 2 6 5 2" xfId="7040"/>
    <cellStyle name="Normal 2 3 2 6 5 3" xfId="11956"/>
    <cellStyle name="Normal 2 3 2 6 6" xfId="4592"/>
    <cellStyle name="Normal 2 3 2 6 6 2" xfId="9508"/>
    <cellStyle name="Normal 2 3 2 6 7" xfId="8265"/>
    <cellStyle name="Normal 2 3 2 7" xfId="594"/>
    <cellStyle name="Normal 2 3 2 7 2" xfId="944"/>
    <cellStyle name="Normal 2 3 2 7 2 2" xfId="1558"/>
    <cellStyle name="Normal 2 3 2 7 2 2 2" xfId="2784"/>
    <cellStyle name="Normal 2 3 2 7 2 2 2 2" xfId="6644"/>
    <cellStyle name="Normal 2 3 2 7 2 2 2 3" xfId="11596"/>
    <cellStyle name="Normal 2 3 2 7 2 2 3" xfId="4012"/>
    <cellStyle name="Normal 2 3 2 7 2 2 3 2" xfId="7868"/>
    <cellStyle name="Normal 2 3 2 7 2 2 3 3" xfId="10354"/>
    <cellStyle name="Normal 2 3 2 7 2 2 4" xfId="5420"/>
    <cellStyle name="Normal 2 3 2 7 2 2 5" xfId="9112"/>
    <cellStyle name="Normal 2 3 2 7 2 3" xfId="2172"/>
    <cellStyle name="Normal 2 3 2 7 2 3 2" xfId="6032"/>
    <cellStyle name="Normal 2 3 2 7 2 3 3" xfId="10948"/>
    <cellStyle name="Normal 2 3 2 7 2 4" xfId="3400"/>
    <cellStyle name="Normal 2 3 2 7 2 4 2" xfId="7256"/>
    <cellStyle name="Normal 2 3 2 7 2 4 3" xfId="9706"/>
    <cellStyle name="Normal 2 3 2 7 2 5" xfId="4808"/>
    <cellStyle name="Normal 2 3 2 7 2 6" xfId="8463"/>
    <cellStyle name="Normal 2 3 2 7 3" xfId="1252"/>
    <cellStyle name="Normal 2 3 2 7 3 2" xfId="2478"/>
    <cellStyle name="Normal 2 3 2 7 3 2 2" xfId="6338"/>
    <cellStyle name="Normal 2 3 2 7 3 2 3" xfId="11290"/>
    <cellStyle name="Normal 2 3 2 7 3 3" xfId="3706"/>
    <cellStyle name="Normal 2 3 2 7 3 3 2" xfId="7562"/>
    <cellStyle name="Normal 2 3 2 7 3 3 3" xfId="10048"/>
    <cellStyle name="Normal 2 3 2 7 3 4" xfId="5114"/>
    <cellStyle name="Normal 2 3 2 7 3 5" xfId="8806"/>
    <cellStyle name="Normal 2 3 2 7 4" xfId="1866"/>
    <cellStyle name="Normal 2 3 2 7 4 2" xfId="5726"/>
    <cellStyle name="Normal 2 3 2 7 4 3" xfId="10660"/>
    <cellStyle name="Normal 2 3 2 7 5" xfId="3093"/>
    <cellStyle name="Normal 2 3 2 7 5 2" xfId="6950"/>
    <cellStyle name="Normal 2 3 2 7 5 3" xfId="11866"/>
    <cellStyle name="Normal 2 3 2 7 6" xfId="4502"/>
    <cellStyle name="Normal 2 3 2 7 6 2" xfId="9418"/>
    <cellStyle name="Normal 2 3 2 7 7" xfId="8175"/>
    <cellStyle name="Normal 2 3 2 8" xfId="480"/>
    <cellStyle name="Normal 2 3 2 8 2" xfId="830"/>
    <cellStyle name="Normal 2 3 2 8 2 2" xfId="1468"/>
    <cellStyle name="Normal 2 3 2 8 2 2 2" xfId="2694"/>
    <cellStyle name="Normal 2 3 2 8 2 2 2 2" xfId="6554"/>
    <cellStyle name="Normal 2 3 2 8 2 2 2 3" xfId="11506"/>
    <cellStyle name="Normal 2 3 2 8 2 2 3" xfId="3922"/>
    <cellStyle name="Normal 2 3 2 8 2 2 3 2" xfId="7778"/>
    <cellStyle name="Normal 2 3 2 8 2 2 3 3" xfId="10264"/>
    <cellStyle name="Normal 2 3 2 8 2 2 4" xfId="5330"/>
    <cellStyle name="Normal 2 3 2 8 2 2 5" xfId="9022"/>
    <cellStyle name="Normal 2 3 2 8 2 3" xfId="2082"/>
    <cellStyle name="Normal 2 3 2 8 2 3 2" xfId="5942"/>
    <cellStyle name="Normal 2 3 2 8 2 3 3" xfId="10858"/>
    <cellStyle name="Normal 2 3 2 8 2 4" xfId="3310"/>
    <cellStyle name="Normal 2 3 2 8 2 4 2" xfId="7166"/>
    <cellStyle name="Normal 2 3 2 8 2 4 3" xfId="9616"/>
    <cellStyle name="Normal 2 3 2 8 2 5" xfId="4718"/>
    <cellStyle name="Normal 2 3 2 8 2 6" xfId="8373"/>
    <cellStyle name="Normal 2 3 2 8 3" xfId="1162"/>
    <cellStyle name="Normal 2 3 2 8 3 2" xfId="2388"/>
    <cellStyle name="Normal 2 3 2 8 3 2 2" xfId="6248"/>
    <cellStyle name="Normal 2 3 2 8 3 2 3" xfId="11200"/>
    <cellStyle name="Normal 2 3 2 8 3 3" xfId="3616"/>
    <cellStyle name="Normal 2 3 2 8 3 3 2" xfId="7472"/>
    <cellStyle name="Normal 2 3 2 8 3 3 3" xfId="9958"/>
    <cellStyle name="Normal 2 3 2 8 3 4" xfId="5024"/>
    <cellStyle name="Normal 2 3 2 8 3 5" xfId="8716"/>
    <cellStyle name="Normal 2 3 2 8 4" xfId="1776"/>
    <cellStyle name="Normal 2 3 2 8 4 2" xfId="5636"/>
    <cellStyle name="Normal 2 3 2 8 4 3" xfId="10570"/>
    <cellStyle name="Normal 2 3 2 8 5" xfId="3003"/>
    <cellStyle name="Normal 2 3 2 8 5 2" xfId="6860"/>
    <cellStyle name="Normal 2 3 2 8 5 3" xfId="12046"/>
    <cellStyle name="Normal 2 3 2 8 6" xfId="4412"/>
    <cellStyle name="Normal 2 3 2 8 6 2" xfId="9328"/>
    <cellStyle name="Normal 2 3 2 8 7" xfId="8085"/>
    <cellStyle name="Normal 2 3 2 9" xfId="792"/>
    <cellStyle name="Normal 2 3 2 9 2" xfId="1432"/>
    <cellStyle name="Normal 2 3 2 9 2 2" xfId="2658"/>
    <cellStyle name="Normal 2 3 2 9 2 2 2" xfId="6518"/>
    <cellStyle name="Normal 2 3 2 9 2 2 3" xfId="11470"/>
    <cellStyle name="Normal 2 3 2 9 2 3" xfId="3886"/>
    <cellStyle name="Normal 2 3 2 9 2 3 2" xfId="7742"/>
    <cellStyle name="Normal 2 3 2 9 2 3 3" xfId="10228"/>
    <cellStyle name="Normal 2 3 2 9 2 4" xfId="5294"/>
    <cellStyle name="Normal 2 3 2 9 2 5" xfId="8986"/>
    <cellStyle name="Normal 2 3 2 9 3" xfId="2046"/>
    <cellStyle name="Normal 2 3 2 9 3 2" xfId="5906"/>
    <cellStyle name="Normal 2 3 2 9 3 3" xfId="10840"/>
    <cellStyle name="Normal 2 3 2 9 4" xfId="3274"/>
    <cellStyle name="Normal 2 3 2 9 4 2" xfId="7130"/>
    <cellStyle name="Normal 2 3 2 9 4 3" xfId="9598"/>
    <cellStyle name="Normal 2 3 2 9 5" xfId="4682"/>
    <cellStyle name="Normal 2 3 2 9 6" xfId="8355"/>
    <cellStyle name="Normal 2 3 3" xfId="443"/>
    <cellStyle name="Normal 2 3 3 10" xfId="1742"/>
    <cellStyle name="Normal 2 3 3 10 2" xfId="5602"/>
    <cellStyle name="Normal 2 3 3 10 3" xfId="10536"/>
    <cellStyle name="Normal 2 3 3 11" xfId="2969"/>
    <cellStyle name="Normal 2 3 3 11 2" xfId="6826"/>
    <cellStyle name="Normal 2 3 3 11 3" xfId="11778"/>
    <cellStyle name="Normal 2 3 3 12" xfId="4378"/>
    <cellStyle name="Normal 2 3 3 12 2" xfId="9294"/>
    <cellStyle name="Normal 2 3 3 13" xfId="8051"/>
    <cellStyle name="Normal 2 3 3 2" xfId="464"/>
    <cellStyle name="Normal 2 3 3 2 10" xfId="4396"/>
    <cellStyle name="Normal 2 3 3 2 10 2" xfId="9312"/>
    <cellStyle name="Normal 2 3 3 2 11" xfId="8069"/>
    <cellStyle name="Normal 2 3 3 2 2" xfId="577"/>
    <cellStyle name="Normal 2 3 3 2 2 2" xfId="758"/>
    <cellStyle name="Normal 2 3 3 2 2 2 2" xfId="1108"/>
    <cellStyle name="Normal 2 3 3 2 2 2 2 2" xfId="1722"/>
    <cellStyle name="Normal 2 3 3 2 2 2 2 2 2" xfId="2948"/>
    <cellStyle name="Normal 2 3 3 2 2 2 2 2 2 2" xfId="6808"/>
    <cellStyle name="Normal 2 3 3 2 2 2 2 2 2 3" xfId="11760"/>
    <cellStyle name="Normal 2 3 3 2 2 2 2 2 3" xfId="4176"/>
    <cellStyle name="Normal 2 3 3 2 2 2 2 2 3 2" xfId="8032"/>
    <cellStyle name="Normal 2 3 3 2 2 2 2 2 3 3" xfId="10518"/>
    <cellStyle name="Normal 2 3 3 2 2 2 2 2 4" xfId="5584"/>
    <cellStyle name="Normal 2 3 3 2 2 2 2 2 5" xfId="9276"/>
    <cellStyle name="Normal 2 3 3 2 2 2 2 3" xfId="2336"/>
    <cellStyle name="Normal 2 3 3 2 2 2 2 3 2" xfId="6196"/>
    <cellStyle name="Normal 2 3 3 2 2 2 2 3 3" xfId="11112"/>
    <cellStyle name="Normal 2 3 3 2 2 2 2 4" xfId="3564"/>
    <cellStyle name="Normal 2 3 3 2 2 2 2 4 2" xfId="7420"/>
    <cellStyle name="Normal 2 3 3 2 2 2 2 4 3" xfId="9870"/>
    <cellStyle name="Normal 2 3 3 2 2 2 2 5" xfId="4972"/>
    <cellStyle name="Normal 2 3 3 2 2 2 2 6" xfId="8627"/>
    <cellStyle name="Normal 2 3 3 2 2 2 3" xfId="1416"/>
    <cellStyle name="Normal 2 3 3 2 2 2 3 2" xfId="2642"/>
    <cellStyle name="Normal 2 3 3 2 2 2 3 2 2" xfId="6502"/>
    <cellStyle name="Normal 2 3 3 2 2 2 3 2 3" xfId="11454"/>
    <cellStyle name="Normal 2 3 3 2 2 2 3 3" xfId="3870"/>
    <cellStyle name="Normal 2 3 3 2 2 2 3 3 2" xfId="7726"/>
    <cellStyle name="Normal 2 3 3 2 2 2 3 3 3" xfId="10212"/>
    <cellStyle name="Normal 2 3 3 2 2 2 3 4" xfId="5278"/>
    <cellStyle name="Normal 2 3 3 2 2 2 3 5" xfId="8970"/>
    <cellStyle name="Normal 2 3 3 2 2 2 4" xfId="2030"/>
    <cellStyle name="Normal 2 3 3 2 2 2 4 2" xfId="5890"/>
    <cellStyle name="Normal 2 3 3 2 2 2 4 3" xfId="10824"/>
    <cellStyle name="Normal 2 3 3 2 2 2 5" xfId="3257"/>
    <cellStyle name="Normal 2 3 3 2 2 2 5 2" xfId="7114"/>
    <cellStyle name="Normal 2 3 3 2 2 2 5 3" xfId="12030"/>
    <cellStyle name="Normal 2 3 3 2 2 2 6" xfId="4666"/>
    <cellStyle name="Normal 2 3 3 2 2 2 6 2" xfId="9582"/>
    <cellStyle name="Normal 2 3 3 2 2 2 7" xfId="8339"/>
    <cellStyle name="Normal 2 3 3 2 2 3" xfId="668"/>
    <cellStyle name="Normal 2 3 3 2 2 3 2" xfId="1018"/>
    <cellStyle name="Normal 2 3 3 2 2 3 2 2" xfId="1632"/>
    <cellStyle name="Normal 2 3 3 2 2 3 2 2 2" xfId="2858"/>
    <cellStyle name="Normal 2 3 3 2 2 3 2 2 2 2" xfId="6718"/>
    <cellStyle name="Normal 2 3 3 2 2 3 2 2 2 3" xfId="11670"/>
    <cellStyle name="Normal 2 3 3 2 2 3 2 2 3" xfId="4086"/>
    <cellStyle name="Normal 2 3 3 2 2 3 2 2 3 2" xfId="7942"/>
    <cellStyle name="Normal 2 3 3 2 2 3 2 2 3 3" xfId="10428"/>
    <cellStyle name="Normal 2 3 3 2 2 3 2 2 4" xfId="5494"/>
    <cellStyle name="Normal 2 3 3 2 2 3 2 2 5" xfId="9186"/>
    <cellStyle name="Normal 2 3 3 2 2 3 2 3" xfId="2246"/>
    <cellStyle name="Normal 2 3 3 2 2 3 2 3 2" xfId="6106"/>
    <cellStyle name="Normal 2 3 3 2 2 3 2 3 3" xfId="11022"/>
    <cellStyle name="Normal 2 3 3 2 2 3 2 4" xfId="3474"/>
    <cellStyle name="Normal 2 3 3 2 2 3 2 4 2" xfId="7330"/>
    <cellStyle name="Normal 2 3 3 2 2 3 2 4 3" xfId="9780"/>
    <cellStyle name="Normal 2 3 3 2 2 3 2 5" xfId="4882"/>
    <cellStyle name="Normal 2 3 3 2 2 3 2 6" xfId="8537"/>
    <cellStyle name="Normal 2 3 3 2 2 3 3" xfId="1326"/>
    <cellStyle name="Normal 2 3 3 2 2 3 3 2" xfId="2552"/>
    <cellStyle name="Normal 2 3 3 2 2 3 3 2 2" xfId="6412"/>
    <cellStyle name="Normal 2 3 3 2 2 3 3 2 3" xfId="11364"/>
    <cellStyle name="Normal 2 3 3 2 2 3 3 3" xfId="3780"/>
    <cellStyle name="Normal 2 3 3 2 2 3 3 3 2" xfId="7636"/>
    <cellStyle name="Normal 2 3 3 2 2 3 3 3 3" xfId="10122"/>
    <cellStyle name="Normal 2 3 3 2 2 3 3 4" xfId="5188"/>
    <cellStyle name="Normal 2 3 3 2 2 3 3 5" xfId="8880"/>
    <cellStyle name="Normal 2 3 3 2 2 3 4" xfId="1940"/>
    <cellStyle name="Normal 2 3 3 2 2 3 4 2" xfId="5800"/>
    <cellStyle name="Normal 2 3 3 2 2 3 4 3" xfId="10734"/>
    <cellStyle name="Normal 2 3 3 2 2 3 5" xfId="3167"/>
    <cellStyle name="Normal 2 3 3 2 2 3 5 2" xfId="7024"/>
    <cellStyle name="Normal 2 3 3 2 2 3 5 3" xfId="11940"/>
    <cellStyle name="Normal 2 3 3 2 2 3 6" xfId="4576"/>
    <cellStyle name="Normal 2 3 3 2 2 3 6 2" xfId="9492"/>
    <cellStyle name="Normal 2 3 3 2 2 3 7" xfId="8249"/>
    <cellStyle name="Normal 2 3 3 2 2 4" xfId="927"/>
    <cellStyle name="Normal 2 3 3 2 2 4 2" xfId="1542"/>
    <cellStyle name="Normal 2 3 3 2 2 4 2 2" xfId="2768"/>
    <cellStyle name="Normal 2 3 3 2 2 4 2 2 2" xfId="6628"/>
    <cellStyle name="Normal 2 3 3 2 2 4 2 2 3" xfId="11580"/>
    <cellStyle name="Normal 2 3 3 2 2 4 2 3" xfId="3996"/>
    <cellStyle name="Normal 2 3 3 2 2 4 2 3 2" xfId="7852"/>
    <cellStyle name="Normal 2 3 3 2 2 4 2 3 3" xfId="10338"/>
    <cellStyle name="Normal 2 3 3 2 2 4 2 4" xfId="5404"/>
    <cellStyle name="Normal 2 3 3 2 2 4 2 5" xfId="9096"/>
    <cellStyle name="Normal 2 3 3 2 2 4 3" xfId="2156"/>
    <cellStyle name="Normal 2 3 3 2 2 4 3 2" xfId="6016"/>
    <cellStyle name="Normal 2 3 3 2 2 4 3 3" xfId="10932"/>
    <cellStyle name="Normal 2 3 3 2 2 4 4" xfId="3384"/>
    <cellStyle name="Normal 2 3 3 2 2 4 4 2" xfId="7240"/>
    <cellStyle name="Normal 2 3 3 2 2 4 4 3" xfId="9690"/>
    <cellStyle name="Normal 2 3 3 2 2 4 5" xfId="4792"/>
    <cellStyle name="Normal 2 3 3 2 2 4 6" xfId="8447"/>
    <cellStyle name="Normal 2 3 3 2 2 5" xfId="1236"/>
    <cellStyle name="Normal 2 3 3 2 2 5 2" xfId="2462"/>
    <cellStyle name="Normal 2 3 3 2 2 5 2 2" xfId="6322"/>
    <cellStyle name="Normal 2 3 3 2 2 5 2 3" xfId="11274"/>
    <cellStyle name="Normal 2 3 3 2 2 5 3" xfId="3690"/>
    <cellStyle name="Normal 2 3 3 2 2 5 3 2" xfId="7546"/>
    <cellStyle name="Normal 2 3 3 2 2 5 3 3" xfId="10032"/>
    <cellStyle name="Normal 2 3 3 2 2 5 4" xfId="5098"/>
    <cellStyle name="Normal 2 3 3 2 2 5 5" xfId="8790"/>
    <cellStyle name="Normal 2 3 3 2 2 6" xfId="1850"/>
    <cellStyle name="Normal 2 3 3 2 2 6 2" xfId="5710"/>
    <cellStyle name="Normal 2 3 3 2 2 6 3" xfId="10644"/>
    <cellStyle name="Normal 2 3 3 2 2 7" xfId="3077"/>
    <cellStyle name="Normal 2 3 3 2 2 7 2" xfId="6934"/>
    <cellStyle name="Normal 2 3 3 2 2 7 3" xfId="11850"/>
    <cellStyle name="Normal 2 3 3 2 2 8" xfId="4486"/>
    <cellStyle name="Normal 2 3 3 2 2 8 2" xfId="9402"/>
    <cellStyle name="Normal 2 3 3 2 2 9" xfId="8159"/>
    <cellStyle name="Normal 2 3 3 2 3" xfId="722"/>
    <cellStyle name="Normal 2 3 3 2 3 2" xfId="1072"/>
    <cellStyle name="Normal 2 3 3 2 3 2 2" xfId="1686"/>
    <cellStyle name="Normal 2 3 3 2 3 2 2 2" xfId="2912"/>
    <cellStyle name="Normal 2 3 3 2 3 2 2 2 2" xfId="6772"/>
    <cellStyle name="Normal 2 3 3 2 3 2 2 2 3" xfId="11724"/>
    <cellStyle name="Normal 2 3 3 2 3 2 2 3" xfId="4140"/>
    <cellStyle name="Normal 2 3 3 2 3 2 2 3 2" xfId="7996"/>
    <cellStyle name="Normal 2 3 3 2 3 2 2 3 3" xfId="10482"/>
    <cellStyle name="Normal 2 3 3 2 3 2 2 4" xfId="5548"/>
    <cellStyle name="Normal 2 3 3 2 3 2 2 5" xfId="9240"/>
    <cellStyle name="Normal 2 3 3 2 3 2 3" xfId="2300"/>
    <cellStyle name="Normal 2 3 3 2 3 2 3 2" xfId="6160"/>
    <cellStyle name="Normal 2 3 3 2 3 2 3 3" xfId="11076"/>
    <cellStyle name="Normal 2 3 3 2 3 2 4" xfId="3528"/>
    <cellStyle name="Normal 2 3 3 2 3 2 4 2" xfId="7384"/>
    <cellStyle name="Normal 2 3 3 2 3 2 4 3" xfId="9834"/>
    <cellStyle name="Normal 2 3 3 2 3 2 5" xfId="4936"/>
    <cellStyle name="Normal 2 3 3 2 3 2 6" xfId="8591"/>
    <cellStyle name="Normal 2 3 3 2 3 3" xfId="1380"/>
    <cellStyle name="Normal 2 3 3 2 3 3 2" xfId="2606"/>
    <cellStyle name="Normal 2 3 3 2 3 3 2 2" xfId="6466"/>
    <cellStyle name="Normal 2 3 3 2 3 3 2 3" xfId="11418"/>
    <cellStyle name="Normal 2 3 3 2 3 3 3" xfId="3834"/>
    <cellStyle name="Normal 2 3 3 2 3 3 3 2" xfId="7690"/>
    <cellStyle name="Normal 2 3 3 2 3 3 3 3" xfId="10176"/>
    <cellStyle name="Normal 2 3 3 2 3 3 4" xfId="5242"/>
    <cellStyle name="Normal 2 3 3 2 3 3 5" xfId="8934"/>
    <cellStyle name="Normal 2 3 3 2 3 4" xfId="1994"/>
    <cellStyle name="Normal 2 3 3 2 3 4 2" xfId="5854"/>
    <cellStyle name="Normal 2 3 3 2 3 4 3" xfId="10788"/>
    <cellStyle name="Normal 2 3 3 2 3 5" xfId="3221"/>
    <cellStyle name="Normal 2 3 3 2 3 5 2" xfId="7078"/>
    <cellStyle name="Normal 2 3 3 2 3 5 3" xfId="11994"/>
    <cellStyle name="Normal 2 3 3 2 3 6" xfId="4630"/>
    <cellStyle name="Normal 2 3 3 2 3 6 2" xfId="9546"/>
    <cellStyle name="Normal 2 3 3 2 3 7" xfId="8303"/>
    <cellStyle name="Normal 2 3 3 2 4" xfId="632"/>
    <cellStyle name="Normal 2 3 3 2 4 2" xfId="982"/>
    <cellStyle name="Normal 2 3 3 2 4 2 2" xfId="1596"/>
    <cellStyle name="Normal 2 3 3 2 4 2 2 2" xfId="2822"/>
    <cellStyle name="Normal 2 3 3 2 4 2 2 2 2" xfId="6682"/>
    <cellStyle name="Normal 2 3 3 2 4 2 2 2 3" xfId="11634"/>
    <cellStyle name="Normal 2 3 3 2 4 2 2 3" xfId="4050"/>
    <cellStyle name="Normal 2 3 3 2 4 2 2 3 2" xfId="7906"/>
    <cellStyle name="Normal 2 3 3 2 4 2 2 3 3" xfId="10392"/>
    <cellStyle name="Normal 2 3 3 2 4 2 2 4" xfId="5458"/>
    <cellStyle name="Normal 2 3 3 2 4 2 2 5" xfId="9150"/>
    <cellStyle name="Normal 2 3 3 2 4 2 3" xfId="2210"/>
    <cellStyle name="Normal 2 3 3 2 4 2 3 2" xfId="6070"/>
    <cellStyle name="Normal 2 3 3 2 4 2 3 3" xfId="10986"/>
    <cellStyle name="Normal 2 3 3 2 4 2 4" xfId="3438"/>
    <cellStyle name="Normal 2 3 3 2 4 2 4 2" xfId="7294"/>
    <cellStyle name="Normal 2 3 3 2 4 2 4 3" xfId="9744"/>
    <cellStyle name="Normal 2 3 3 2 4 2 5" xfId="4846"/>
    <cellStyle name="Normal 2 3 3 2 4 2 6" xfId="8501"/>
    <cellStyle name="Normal 2 3 3 2 4 3" xfId="1290"/>
    <cellStyle name="Normal 2 3 3 2 4 3 2" xfId="2516"/>
    <cellStyle name="Normal 2 3 3 2 4 3 2 2" xfId="6376"/>
    <cellStyle name="Normal 2 3 3 2 4 3 2 3" xfId="11328"/>
    <cellStyle name="Normal 2 3 3 2 4 3 3" xfId="3744"/>
    <cellStyle name="Normal 2 3 3 2 4 3 3 2" xfId="7600"/>
    <cellStyle name="Normal 2 3 3 2 4 3 3 3" xfId="10086"/>
    <cellStyle name="Normal 2 3 3 2 4 3 4" xfId="5152"/>
    <cellStyle name="Normal 2 3 3 2 4 3 5" xfId="8844"/>
    <cellStyle name="Normal 2 3 3 2 4 4" xfId="1904"/>
    <cellStyle name="Normal 2 3 3 2 4 4 2" xfId="5764"/>
    <cellStyle name="Normal 2 3 3 2 4 4 3" xfId="10698"/>
    <cellStyle name="Normal 2 3 3 2 4 5" xfId="3131"/>
    <cellStyle name="Normal 2 3 3 2 4 5 2" xfId="6988"/>
    <cellStyle name="Normal 2 3 3 2 4 5 3" xfId="11904"/>
    <cellStyle name="Normal 2 3 3 2 4 6" xfId="4540"/>
    <cellStyle name="Normal 2 3 3 2 4 6 2" xfId="9456"/>
    <cellStyle name="Normal 2 3 3 2 4 7" xfId="8213"/>
    <cellStyle name="Normal 2 3 3 2 5" xfId="538"/>
    <cellStyle name="Normal 2 3 3 2 5 2" xfId="888"/>
    <cellStyle name="Normal 2 3 3 2 5 2 2" xfId="1506"/>
    <cellStyle name="Normal 2 3 3 2 5 2 2 2" xfId="2732"/>
    <cellStyle name="Normal 2 3 3 2 5 2 2 2 2" xfId="6592"/>
    <cellStyle name="Normal 2 3 3 2 5 2 2 2 3" xfId="11544"/>
    <cellStyle name="Normal 2 3 3 2 5 2 2 3" xfId="3960"/>
    <cellStyle name="Normal 2 3 3 2 5 2 2 3 2" xfId="7816"/>
    <cellStyle name="Normal 2 3 3 2 5 2 2 3 3" xfId="10302"/>
    <cellStyle name="Normal 2 3 3 2 5 2 2 4" xfId="5368"/>
    <cellStyle name="Normal 2 3 3 2 5 2 2 5" xfId="9060"/>
    <cellStyle name="Normal 2 3 3 2 5 2 3" xfId="2120"/>
    <cellStyle name="Normal 2 3 3 2 5 2 3 2" xfId="5980"/>
    <cellStyle name="Normal 2 3 3 2 5 2 3 3" xfId="11148"/>
    <cellStyle name="Normal 2 3 3 2 5 2 4" xfId="3348"/>
    <cellStyle name="Normal 2 3 3 2 5 2 4 2" xfId="7204"/>
    <cellStyle name="Normal 2 3 3 2 5 2 4 3" xfId="9906"/>
    <cellStyle name="Normal 2 3 3 2 5 2 5" xfId="4756"/>
    <cellStyle name="Normal 2 3 3 2 5 2 6" xfId="8664"/>
    <cellStyle name="Normal 2 3 3 2 5 3" xfId="1200"/>
    <cellStyle name="Normal 2 3 3 2 5 3 2" xfId="2426"/>
    <cellStyle name="Normal 2 3 3 2 5 3 2 2" xfId="6286"/>
    <cellStyle name="Normal 2 3 3 2 5 3 2 3" xfId="11238"/>
    <cellStyle name="Normal 2 3 3 2 5 3 3" xfId="3654"/>
    <cellStyle name="Normal 2 3 3 2 5 3 3 2" xfId="7510"/>
    <cellStyle name="Normal 2 3 3 2 5 3 3 3" xfId="9996"/>
    <cellStyle name="Normal 2 3 3 2 5 3 4" xfId="5062"/>
    <cellStyle name="Normal 2 3 3 2 5 3 5" xfId="8754"/>
    <cellStyle name="Normal 2 3 3 2 5 4" xfId="1814"/>
    <cellStyle name="Normal 2 3 3 2 5 4 2" xfId="5674"/>
    <cellStyle name="Normal 2 3 3 2 5 4 2 2" xfId="11130"/>
    <cellStyle name="Normal 2 3 3 2 5 4 3" xfId="9888"/>
    <cellStyle name="Normal 2 3 3 2 5 4 4" xfId="8645"/>
    <cellStyle name="Normal 2 3 3 2 5 5" xfId="3041"/>
    <cellStyle name="Normal 2 3 3 2 5 5 2" xfId="6898"/>
    <cellStyle name="Normal 2 3 3 2 5 5 3" xfId="10608"/>
    <cellStyle name="Normal 2 3 3 2 5 6" xfId="4450"/>
    <cellStyle name="Normal 2 3 3 2 5 6 2" xfId="9366"/>
    <cellStyle name="Normal 2 3 3 2 5 7" xfId="8123"/>
    <cellStyle name="Normal 2 3 3 2 6" xfId="814"/>
    <cellStyle name="Normal 2 3 3 2 6 2" xfId="1452"/>
    <cellStyle name="Normal 2 3 3 2 6 2 2" xfId="2678"/>
    <cellStyle name="Normal 2 3 3 2 6 2 2 2" xfId="6538"/>
    <cellStyle name="Normal 2 3 3 2 6 2 2 3" xfId="11490"/>
    <cellStyle name="Normal 2 3 3 2 6 2 3" xfId="3906"/>
    <cellStyle name="Normal 2 3 3 2 6 2 3 2" xfId="7762"/>
    <cellStyle name="Normal 2 3 3 2 6 2 3 3" xfId="10248"/>
    <cellStyle name="Normal 2 3 3 2 6 2 4" xfId="5314"/>
    <cellStyle name="Normal 2 3 3 2 6 2 5" xfId="9006"/>
    <cellStyle name="Normal 2 3 3 2 6 3" xfId="2066"/>
    <cellStyle name="Normal 2 3 3 2 6 3 2" xfId="5926"/>
    <cellStyle name="Normal 2 3 3 2 6 3 3" xfId="10896"/>
    <cellStyle name="Normal 2 3 3 2 6 4" xfId="3294"/>
    <cellStyle name="Normal 2 3 3 2 6 4 2" xfId="7150"/>
    <cellStyle name="Normal 2 3 3 2 6 4 3" xfId="9654"/>
    <cellStyle name="Normal 2 3 3 2 6 5" xfId="4702"/>
    <cellStyle name="Normal 2 3 3 2 6 6" xfId="8411"/>
    <cellStyle name="Normal 2 3 3 2 7" xfId="1146"/>
    <cellStyle name="Normal 2 3 3 2 7 2" xfId="2372"/>
    <cellStyle name="Normal 2 3 3 2 7 2 2" xfId="6232"/>
    <cellStyle name="Normal 2 3 3 2 7 2 3" xfId="11184"/>
    <cellStyle name="Normal 2 3 3 2 7 3" xfId="3600"/>
    <cellStyle name="Normal 2 3 3 2 7 3 2" xfId="7456"/>
    <cellStyle name="Normal 2 3 3 2 7 3 3" xfId="9942"/>
    <cellStyle name="Normal 2 3 3 2 7 4" xfId="5008"/>
    <cellStyle name="Normal 2 3 3 2 7 5" xfId="8700"/>
    <cellStyle name="Normal 2 3 3 2 8" xfId="1760"/>
    <cellStyle name="Normal 2 3 3 2 8 2" xfId="5620"/>
    <cellStyle name="Normal 2 3 3 2 8 3" xfId="10554"/>
    <cellStyle name="Normal 2 3 3 2 9" xfId="2987"/>
    <cellStyle name="Normal 2 3 3 2 9 2" xfId="6844"/>
    <cellStyle name="Normal 2 3 3 2 9 3" xfId="11814"/>
    <cellStyle name="Normal 2 3 3 3" xfId="559"/>
    <cellStyle name="Normal 2 3 3 3 2" xfId="740"/>
    <cellStyle name="Normal 2 3 3 3 2 2" xfId="1090"/>
    <cellStyle name="Normal 2 3 3 3 2 2 2" xfId="1704"/>
    <cellStyle name="Normal 2 3 3 3 2 2 2 2" xfId="2930"/>
    <cellStyle name="Normal 2 3 3 3 2 2 2 2 2" xfId="6790"/>
    <cellStyle name="Normal 2 3 3 3 2 2 2 2 3" xfId="11742"/>
    <cellStyle name="Normal 2 3 3 3 2 2 2 3" xfId="4158"/>
    <cellStyle name="Normal 2 3 3 3 2 2 2 3 2" xfId="8014"/>
    <cellStyle name="Normal 2 3 3 3 2 2 2 3 3" xfId="10500"/>
    <cellStyle name="Normal 2 3 3 3 2 2 2 4" xfId="5566"/>
    <cellStyle name="Normal 2 3 3 3 2 2 2 5" xfId="9258"/>
    <cellStyle name="Normal 2 3 3 3 2 2 3" xfId="2318"/>
    <cellStyle name="Normal 2 3 3 3 2 2 3 2" xfId="6178"/>
    <cellStyle name="Normal 2 3 3 3 2 2 3 3" xfId="11094"/>
    <cellStyle name="Normal 2 3 3 3 2 2 4" xfId="3546"/>
    <cellStyle name="Normal 2 3 3 3 2 2 4 2" xfId="7402"/>
    <cellStyle name="Normal 2 3 3 3 2 2 4 3" xfId="9852"/>
    <cellStyle name="Normal 2 3 3 3 2 2 5" xfId="4954"/>
    <cellStyle name="Normal 2 3 3 3 2 2 6" xfId="8609"/>
    <cellStyle name="Normal 2 3 3 3 2 3" xfId="1398"/>
    <cellStyle name="Normal 2 3 3 3 2 3 2" xfId="2624"/>
    <cellStyle name="Normal 2 3 3 3 2 3 2 2" xfId="6484"/>
    <cellStyle name="Normal 2 3 3 3 2 3 2 3" xfId="11436"/>
    <cellStyle name="Normal 2 3 3 3 2 3 3" xfId="3852"/>
    <cellStyle name="Normal 2 3 3 3 2 3 3 2" xfId="7708"/>
    <cellStyle name="Normal 2 3 3 3 2 3 3 3" xfId="10194"/>
    <cellStyle name="Normal 2 3 3 3 2 3 4" xfId="5260"/>
    <cellStyle name="Normal 2 3 3 3 2 3 5" xfId="8952"/>
    <cellStyle name="Normal 2 3 3 3 2 4" xfId="2012"/>
    <cellStyle name="Normal 2 3 3 3 2 4 2" xfId="5872"/>
    <cellStyle name="Normal 2 3 3 3 2 4 3" xfId="10806"/>
    <cellStyle name="Normal 2 3 3 3 2 5" xfId="3239"/>
    <cellStyle name="Normal 2 3 3 3 2 5 2" xfId="7096"/>
    <cellStyle name="Normal 2 3 3 3 2 5 3" xfId="12012"/>
    <cellStyle name="Normal 2 3 3 3 2 6" xfId="4648"/>
    <cellStyle name="Normal 2 3 3 3 2 6 2" xfId="9564"/>
    <cellStyle name="Normal 2 3 3 3 2 7" xfId="8321"/>
    <cellStyle name="Normal 2 3 3 3 3" xfId="650"/>
    <cellStyle name="Normal 2 3 3 3 3 2" xfId="1000"/>
    <cellStyle name="Normal 2 3 3 3 3 2 2" xfId="1614"/>
    <cellStyle name="Normal 2 3 3 3 3 2 2 2" xfId="2840"/>
    <cellStyle name="Normal 2 3 3 3 3 2 2 2 2" xfId="6700"/>
    <cellStyle name="Normal 2 3 3 3 3 2 2 2 3" xfId="11652"/>
    <cellStyle name="Normal 2 3 3 3 3 2 2 3" xfId="4068"/>
    <cellStyle name="Normal 2 3 3 3 3 2 2 3 2" xfId="7924"/>
    <cellStyle name="Normal 2 3 3 3 3 2 2 3 3" xfId="10410"/>
    <cellStyle name="Normal 2 3 3 3 3 2 2 4" xfId="5476"/>
    <cellStyle name="Normal 2 3 3 3 3 2 2 5" xfId="9168"/>
    <cellStyle name="Normal 2 3 3 3 3 2 3" xfId="2228"/>
    <cellStyle name="Normal 2 3 3 3 3 2 3 2" xfId="6088"/>
    <cellStyle name="Normal 2 3 3 3 3 2 3 3" xfId="11004"/>
    <cellStyle name="Normal 2 3 3 3 3 2 4" xfId="3456"/>
    <cellStyle name="Normal 2 3 3 3 3 2 4 2" xfId="7312"/>
    <cellStyle name="Normal 2 3 3 3 3 2 4 3" xfId="9762"/>
    <cellStyle name="Normal 2 3 3 3 3 2 5" xfId="4864"/>
    <cellStyle name="Normal 2 3 3 3 3 2 6" xfId="8519"/>
    <cellStyle name="Normal 2 3 3 3 3 3" xfId="1308"/>
    <cellStyle name="Normal 2 3 3 3 3 3 2" xfId="2534"/>
    <cellStyle name="Normal 2 3 3 3 3 3 2 2" xfId="6394"/>
    <cellStyle name="Normal 2 3 3 3 3 3 2 3" xfId="11346"/>
    <cellStyle name="Normal 2 3 3 3 3 3 3" xfId="3762"/>
    <cellStyle name="Normal 2 3 3 3 3 3 3 2" xfId="7618"/>
    <cellStyle name="Normal 2 3 3 3 3 3 3 3" xfId="10104"/>
    <cellStyle name="Normal 2 3 3 3 3 3 4" xfId="5170"/>
    <cellStyle name="Normal 2 3 3 3 3 3 5" xfId="8862"/>
    <cellStyle name="Normal 2 3 3 3 3 4" xfId="1922"/>
    <cellStyle name="Normal 2 3 3 3 3 4 2" xfId="5782"/>
    <cellStyle name="Normal 2 3 3 3 3 4 3" xfId="10716"/>
    <cellStyle name="Normal 2 3 3 3 3 5" xfId="3149"/>
    <cellStyle name="Normal 2 3 3 3 3 5 2" xfId="7006"/>
    <cellStyle name="Normal 2 3 3 3 3 5 3" xfId="11922"/>
    <cellStyle name="Normal 2 3 3 3 3 6" xfId="4558"/>
    <cellStyle name="Normal 2 3 3 3 3 6 2" xfId="9474"/>
    <cellStyle name="Normal 2 3 3 3 3 7" xfId="8231"/>
    <cellStyle name="Normal 2 3 3 3 4" xfId="909"/>
    <cellStyle name="Normal 2 3 3 3 4 2" xfId="1524"/>
    <cellStyle name="Normal 2 3 3 3 4 2 2" xfId="2750"/>
    <cellStyle name="Normal 2 3 3 3 4 2 2 2" xfId="6610"/>
    <cellStyle name="Normal 2 3 3 3 4 2 2 3" xfId="11562"/>
    <cellStyle name="Normal 2 3 3 3 4 2 3" xfId="3978"/>
    <cellStyle name="Normal 2 3 3 3 4 2 3 2" xfId="7834"/>
    <cellStyle name="Normal 2 3 3 3 4 2 3 3" xfId="10320"/>
    <cellStyle name="Normal 2 3 3 3 4 2 4" xfId="5386"/>
    <cellStyle name="Normal 2 3 3 3 4 2 5" xfId="9078"/>
    <cellStyle name="Normal 2 3 3 3 4 3" xfId="2138"/>
    <cellStyle name="Normal 2 3 3 3 4 3 2" xfId="5998"/>
    <cellStyle name="Normal 2 3 3 3 4 3 3" xfId="10914"/>
    <cellStyle name="Normal 2 3 3 3 4 4" xfId="3366"/>
    <cellStyle name="Normal 2 3 3 3 4 4 2" xfId="7222"/>
    <cellStyle name="Normal 2 3 3 3 4 4 3" xfId="9672"/>
    <cellStyle name="Normal 2 3 3 3 4 5" xfId="4774"/>
    <cellStyle name="Normal 2 3 3 3 4 6" xfId="8429"/>
    <cellStyle name="Normal 2 3 3 3 5" xfId="1218"/>
    <cellStyle name="Normal 2 3 3 3 5 2" xfId="2444"/>
    <cellStyle name="Normal 2 3 3 3 5 2 2" xfId="6304"/>
    <cellStyle name="Normal 2 3 3 3 5 2 3" xfId="11256"/>
    <cellStyle name="Normal 2 3 3 3 5 3" xfId="3672"/>
    <cellStyle name="Normal 2 3 3 3 5 3 2" xfId="7528"/>
    <cellStyle name="Normal 2 3 3 3 5 3 3" xfId="10014"/>
    <cellStyle name="Normal 2 3 3 3 5 4" xfId="5080"/>
    <cellStyle name="Normal 2 3 3 3 5 5" xfId="8772"/>
    <cellStyle name="Normal 2 3 3 3 6" xfId="1832"/>
    <cellStyle name="Normal 2 3 3 3 6 2" xfId="5692"/>
    <cellStyle name="Normal 2 3 3 3 6 3" xfId="10626"/>
    <cellStyle name="Normal 2 3 3 3 7" xfId="3059"/>
    <cellStyle name="Normal 2 3 3 3 7 2" xfId="6916"/>
    <cellStyle name="Normal 2 3 3 3 7 3" xfId="11832"/>
    <cellStyle name="Normal 2 3 3 3 8" xfId="4468"/>
    <cellStyle name="Normal 2 3 3 3 8 2" xfId="9384"/>
    <cellStyle name="Normal 2 3 3 3 9" xfId="8141"/>
    <cellStyle name="Normal 2 3 3 4" xfId="502"/>
    <cellStyle name="Normal 2 3 3 4 2" xfId="704"/>
    <cellStyle name="Normal 2 3 3 4 2 2" xfId="1054"/>
    <cellStyle name="Normal 2 3 3 4 2 2 2" xfId="1668"/>
    <cellStyle name="Normal 2 3 3 4 2 2 2 2" xfId="2894"/>
    <cellStyle name="Normal 2 3 3 4 2 2 2 2 2" xfId="6754"/>
    <cellStyle name="Normal 2 3 3 4 2 2 2 2 3" xfId="11706"/>
    <cellStyle name="Normal 2 3 3 4 2 2 2 3" xfId="4122"/>
    <cellStyle name="Normal 2 3 3 4 2 2 2 3 2" xfId="7978"/>
    <cellStyle name="Normal 2 3 3 4 2 2 2 3 3" xfId="10464"/>
    <cellStyle name="Normal 2 3 3 4 2 2 2 4" xfId="5530"/>
    <cellStyle name="Normal 2 3 3 4 2 2 2 5" xfId="9222"/>
    <cellStyle name="Normal 2 3 3 4 2 2 3" xfId="2282"/>
    <cellStyle name="Normal 2 3 3 4 2 2 3 2" xfId="6142"/>
    <cellStyle name="Normal 2 3 3 4 2 2 3 3" xfId="11058"/>
    <cellStyle name="Normal 2 3 3 4 2 2 4" xfId="3510"/>
    <cellStyle name="Normal 2 3 3 4 2 2 4 2" xfId="7366"/>
    <cellStyle name="Normal 2 3 3 4 2 2 4 3" xfId="9816"/>
    <cellStyle name="Normal 2 3 3 4 2 2 5" xfId="4918"/>
    <cellStyle name="Normal 2 3 3 4 2 2 6" xfId="8573"/>
    <cellStyle name="Normal 2 3 3 4 2 3" xfId="1362"/>
    <cellStyle name="Normal 2 3 3 4 2 3 2" xfId="2588"/>
    <cellStyle name="Normal 2 3 3 4 2 3 2 2" xfId="6448"/>
    <cellStyle name="Normal 2 3 3 4 2 3 2 3" xfId="11400"/>
    <cellStyle name="Normal 2 3 3 4 2 3 3" xfId="3816"/>
    <cellStyle name="Normal 2 3 3 4 2 3 3 2" xfId="7672"/>
    <cellStyle name="Normal 2 3 3 4 2 3 3 3" xfId="10158"/>
    <cellStyle name="Normal 2 3 3 4 2 3 4" xfId="5224"/>
    <cellStyle name="Normal 2 3 3 4 2 3 5" xfId="8916"/>
    <cellStyle name="Normal 2 3 3 4 2 4" xfId="1976"/>
    <cellStyle name="Normal 2 3 3 4 2 4 2" xfId="5836"/>
    <cellStyle name="Normal 2 3 3 4 2 4 3" xfId="10770"/>
    <cellStyle name="Normal 2 3 3 4 2 5" xfId="3203"/>
    <cellStyle name="Normal 2 3 3 4 2 5 2" xfId="7060"/>
    <cellStyle name="Normal 2 3 3 4 2 5 3" xfId="11976"/>
    <cellStyle name="Normal 2 3 3 4 2 6" xfId="4612"/>
    <cellStyle name="Normal 2 3 3 4 2 6 2" xfId="9528"/>
    <cellStyle name="Normal 2 3 3 4 2 7" xfId="8285"/>
    <cellStyle name="Normal 2 3 3 4 3" xfId="614"/>
    <cellStyle name="Normal 2 3 3 4 3 2" xfId="964"/>
    <cellStyle name="Normal 2 3 3 4 3 2 2" xfId="1578"/>
    <cellStyle name="Normal 2 3 3 4 3 2 2 2" xfId="2804"/>
    <cellStyle name="Normal 2 3 3 4 3 2 2 2 2" xfId="6664"/>
    <cellStyle name="Normal 2 3 3 4 3 2 2 2 3" xfId="11616"/>
    <cellStyle name="Normal 2 3 3 4 3 2 2 3" xfId="4032"/>
    <cellStyle name="Normal 2 3 3 4 3 2 2 3 2" xfId="7888"/>
    <cellStyle name="Normal 2 3 3 4 3 2 2 3 3" xfId="10374"/>
    <cellStyle name="Normal 2 3 3 4 3 2 2 4" xfId="5440"/>
    <cellStyle name="Normal 2 3 3 4 3 2 2 5" xfId="9132"/>
    <cellStyle name="Normal 2 3 3 4 3 2 3" xfId="2192"/>
    <cellStyle name="Normal 2 3 3 4 3 2 3 2" xfId="6052"/>
    <cellStyle name="Normal 2 3 3 4 3 2 3 3" xfId="10968"/>
    <cellStyle name="Normal 2 3 3 4 3 2 4" xfId="3420"/>
    <cellStyle name="Normal 2 3 3 4 3 2 4 2" xfId="7276"/>
    <cellStyle name="Normal 2 3 3 4 3 2 4 3" xfId="9726"/>
    <cellStyle name="Normal 2 3 3 4 3 2 5" xfId="4828"/>
    <cellStyle name="Normal 2 3 3 4 3 2 6" xfId="8483"/>
    <cellStyle name="Normal 2 3 3 4 3 3" xfId="1272"/>
    <cellStyle name="Normal 2 3 3 4 3 3 2" xfId="2498"/>
    <cellStyle name="Normal 2 3 3 4 3 3 2 2" xfId="6358"/>
    <cellStyle name="Normal 2 3 3 4 3 3 2 3" xfId="11310"/>
    <cellStyle name="Normal 2 3 3 4 3 3 3" xfId="3726"/>
    <cellStyle name="Normal 2 3 3 4 3 3 3 2" xfId="7582"/>
    <cellStyle name="Normal 2 3 3 4 3 3 3 3" xfId="10068"/>
    <cellStyle name="Normal 2 3 3 4 3 3 4" xfId="5134"/>
    <cellStyle name="Normal 2 3 3 4 3 3 5" xfId="8826"/>
    <cellStyle name="Normal 2 3 3 4 3 4" xfId="1886"/>
    <cellStyle name="Normal 2 3 3 4 3 4 2" xfId="5746"/>
    <cellStyle name="Normal 2 3 3 4 3 4 3" xfId="10680"/>
    <cellStyle name="Normal 2 3 3 4 3 5" xfId="3113"/>
    <cellStyle name="Normal 2 3 3 4 3 5 2" xfId="6970"/>
    <cellStyle name="Normal 2 3 3 4 3 5 3" xfId="11886"/>
    <cellStyle name="Normal 2 3 3 4 3 6" xfId="4522"/>
    <cellStyle name="Normal 2 3 3 4 3 6 2" xfId="9438"/>
    <cellStyle name="Normal 2 3 3 4 3 7" xfId="8195"/>
    <cellStyle name="Normal 2 3 3 4 4" xfId="852"/>
    <cellStyle name="Normal 2 3 3 4 4 2" xfId="1488"/>
    <cellStyle name="Normal 2 3 3 4 4 2 2" xfId="2714"/>
    <cellStyle name="Normal 2 3 3 4 4 2 2 2" xfId="6574"/>
    <cellStyle name="Normal 2 3 3 4 4 2 2 3" xfId="11526"/>
    <cellStyle name="Normal 2 3 3 4 4 2 3" xfId="3942"/>
    <cellStyle name="Normal 2 3 3 4 4 2 3 2" xfId="7798"/>
    <cellStyle name="Normal 2 3 3 4 4 2 3 3" xfId="10284"/>
    <cellStyle name="Normal 2 3 3 4 4 2 4" xfId="5350"/>
    <cellStyle name="Normal 2 3 3 4 4 2 5" xfId="9042"/>
    <cellStyle name="Normal 2 3 3 4 4 3" xfId="2102"/>
    <cellStyle name="Normal 2 3 3 4 4 3 2" xfId="5962"/>
    <cellStyle name="Normal 2 3 3 4 4 3 3" xfId="10878"/>
    <cellStyle name="Normal 2 3 3 4 4 4" xfId="3330"/>
    <cellStyle name="Normal 2 3 3 4 4 4 2" xfId="7186"/>
    <cellStyle name="Normal 2 3 3 4 4 4 3" xfId="9636"/>
    <cellStyle name="Normal 2 3 3 4 4 5" xfId="4738"/>
    <cellStyle name="Normal 2 3 3 4 4 6" xfId="8393"/>
    <cellStyle name="Normal 2 3 3 4 5" xfId="1182"/>
    <cellStyle name="Normal 2 3 3 4 5 2" xfId="2408"/>
    <cellStyle name="Normal 2 3 3 4 5 2 2" xfId="6268"/>
    <cellStyle name="Normal 2 3 3 4 5 2 3" xfId="11220"/>
    <cellStyle name="Normal 2 3 3 4 5 3" xfId="3636"/>
    <cellStyle name="Normal 2 3 3 4 5 3 2" xfId="7492"/>
    <cellStyle name="Normal 2 3 3 4 5 3 3" xfId="9978"/>
    <cellStyle name="Normal 2 3 3 4 5 4" xfId="5044"/>
    <cellStyle name="Normal 2 3 3 4 5 5" xfId="8736"/>
    <cellStyle name="Normal 2 3 3 4 6" xfId="1796"/>
    <cellStyle name="Normal 2 3 3 4 6 2" xfId="5656"/>
    <cellStyle name="Normal 2 3 3 4 6 3" xfId="10590"/>
    <cellStyle name="Normal 2 3 3 4 7" xfId="3023"/>
    <cellStyle name="Normal 2 3 3 4 7 2" xfId="6880"/>
    <cellStyle name="Normal 2 3 3 4 7 3" xfId="11796"/>
    <cellStyle name="Normal 2 3 3 4 8" xfId="4432"/>
    <cellStyle name="Normal 2 3 3 4 8 2" xfId="9348"/>
    <cellStyle name="Normal 2 3 3 4 9" xfId="8105"/>
    <cellStyle name="Normal 2 3 3 5" xfId="686"/>
    <cellStyle name="Normal 2 3 3 5 2" xfId="1036"/>
    <cellStyle name="Normal 2 3 3 5 2 2" xfId="1650"/>
    <cellStyle name="Normal 2 3 3 5 2 2 2" xfId="2876"/>
    <cellStyle name="Normal 2 3 3 5 2 2 2 2" xfId="6736"/>
    <cellStyle name="Normal 2 3 3 5 2 2 2 3" xfId="11688"/>
    <cellStyle name="Normal 2 3 3 5 2 2 3" xfId="4104"/>
    <cellStyle name="Normal 2 3 3 5 2 2 3 2" xfId="7960"/>
    <cellStyle name="Normal 2 3 3 5 2 2 3 3" xfId="10446"/>
    <cellStyle name="Normal 2 3 3 5 2 2 4" xfId="5512"/>
    <cellStyle name="Normal 2 3 3 5 2 2 5" xfId="9204"/>
    <cellStyle name="Normal 2 3 3 5 2 3" xfId="2264"/>
    <cellStyle name="Normal 2 3 3 5 2 3 2" xfId="6124"/>
    <cellStyle name="Normal 2 3 3 5 2 3 3" xfId="11040"/>
    <cellStyle name="Normal 2 3 3 5 2 4" xfId="3492"/>
    <cellStyle name="Normal 2 3 3 5 2 4 2" xfId="7348"/>
    <cellStyle name="Normal 2 3 3 5 2 4 3" xfId="9798"/>
    <cellStyle name="Normal 2 3 3 5 2 5" xfId="4900"/>
    <cellStyle name="Normal 2 3 3 5 2 6" xfId="8555"/>
    <cellStyle name="Normal 2 3 3 5 3" xfId="1344"/>
    <cellStyle name="Normal 2 3 3 5 3 2" xfId="2570"/>
    <cellStyle name="Normal 2 3 3 5 3 2 2" xfId="6430"/>
    <cellStyle name="Normal 2 3 3 5 3 2 3" xfId="11382"/>
    <cellStyle name="Normal 2 3 3 5 3 3" xfId="3798"/>
    <cellStyle name="Normal 2 3 3 5 3 3 2" xfId="7654"/>
    <cellStyle name="Normal 2 3 3 5 3 3 3" xfId="10140"/>
    <cellStyle name="Normal 2 3 3 5 3 4" xfId="5206"/>
    <cellStyle name="Normal 2 3 3 5 3 5" xfId="8898"/>
    <cellStyle name="Normal 2 3 3 5 4" xfId="1958"/>
    <cellStyle name="Normal 2 3 3 5 4 2" xfId="5818"/>
    <cellStyle name="Normal 2 3 3 5 4 3" xfId="10752"/>
    <cellStyle name="Normal 2 3 3 5 5" xfId="3185"/>
    <cellStyle name="Normal 2 3 3 5 5 2" xfId="7042"/>
    <cellStyle name="Normal 2 3 3 5 5 3" xfId="11958"/>
    <cellStyle name="Normal 2 3 3 5 6" xfId="4594"/>
    <cellStyle name="Normal 2 3 3 5 6 2" xfId="9510"/>
    <cellStyle name="Normal 2 3 3 5 7" xfId="8267"/>
    <cellStyle name="Normal 2 3 3 6" xfId="596"/>
    <cellStyle name="Normal 2 3 3 6 2" xfId="946"/>
    <cellStyle name="Normal 2 3 3 6 2 2" xfId="1560"/>
    <cellStyle name="Normal 2 3 3 6 2 2 2" xfId="2786"/>
    <cellStyle name="Normal 2 3 3 6 2 2 2 2" xfId="6646"/>
    <cellStyle name="Normal 2 3 3 6 2 2 2 3" xfId="11598"/>
    <cellStyle name="Normal 2 3 3 6 2 2 3" xfId="4014"/>
    <cellStyle name="Normal 2 3 3 6 2 2 3 2" xfId="7870"/>
    <cellStyle name="Normal 2 3 3 6 2 2 3 3" xfId="10356"/>
    <cellStyle name="Normal 2 3 3 6 2 2 4" xfId="5422"/>
    <cellStyle name="Normal 2 3 3 6 2 2 5" xfId="9114"/>
    <cellStyle name="Normal 2 3 3 6 2 3" xfId="2174"/>
    <cellStyle name="Normal 2 3 3 6 2 3 2" xfId="6034"/>
    <cellStyle name="Normal 2 3 3 6 2 3 3" xfId="10950"/>
    <cellStyle name="Normal 2 3 3 6 2 4" xfId="3402"/>
    <cellStyle name="Normal 2 3 3 6 2 4 2" xfId="7258"/>
    <cellStyle name="Normal 2 3 3 6 2 4 3" xfId="9708"/>
    <cellStyle name="Normal 2 3 3 6 2 5" xfId="4810"/>
    <cellStyle name="Normal 2 3 3 6 2 6" xfId="8465"/>
    <cellStyle name="Normal 2 3 3 6 3" xfId="1254"/>
    <cellStyle name="Normal 2 3 3 6 3 2" xfId="2480"/>
    <cellStyle name="Normal 2 3 3 6 3 2 2" xfId="6340"/>
    <cellStyle name="Normal 2 3 3 6 3 2 3" xfId="11292"/>
    <cellStyle name="Normal 2 3 3 6 3 3" xfId="3708"/>
    <cellStyle name="Normal 2 3 3 6 3 3 2" xfId="7564"/>
    <cellStyle name="Normal 2 3 3 6 3 3 3" xfId="10050"/>
    <cellStyle name="Normal 2 3 3 6 3 4" xfId="5116"/>
    <cellStyle name="Normal 2 3 3 6 3 5" xfId="8808"/>
    <cellStyle name="Normal 2 3 3 6 4" xfId="1868"/>
    <cellStyle name="Normal 2 3 3 6 4 2" xfId="5728"/>
    <cellStyle name="Normal 2 3 3 6 4 3" xfId="10662"/>
    <cellStyle name="Normal 2 3 3 6 5" xfId="3095"/>
    <cellStyle name="Normal 2 3 3 6 5 2" xfId="6952"/>
    <cellStyle name="Normal 2 3 3 6 5 3" xfId="11868"/>
    <cellStyle name="Normal 2 3 3 6 6" xfId="4504"/>
    <cellStyle name="Normal 2 3 3 6 6 2" xfId="9420"/>
    <cellStyle name="Normal 2 3 3 6 7" xfId="8177"/>
    <cellStyle name="Normal 2 3 3 7" xfId="482"/>
    <cellStyle name="Normal 2 3 3 7 2" xfId="832"/>
    <cellStyle name="Normal 2 3 3 7 2 2" xfId="1470"/>
    <cellStyle name="Normal 2 3 3 7 2 2 2" xfId="2696"/>
    <cellStyle name="Normal 2 3 3 7 2 2 2 2" xfId="6556"/>
    <cellStyle name="Normal 2 3 3 7 2 2 2 3" xfId="11508"/>
    <cellStyle name="Normal 2 3 3 7 2 2 3" xfId="3924"/>
    <cellStyle name="Normal 2 3 3 7 2 2 3 2" xfId="7780"/>
    <cellStyle name="Normal 2 3 3 7 2 2 3 3" xfId="10266"/>
    <cellStyle name="Normal 2 3 3 7 2 2 4" xfId="5332"/>
    <cellStyle name="Normal 2 3 3 7 2 2 5" xfId="9024"/>
    <cellStyle name="Normal 2 3 3 7 2 3" xfId="2084"/>
    <cellStyle name="Normal 2 3 3 7 2 3 2" xfId="5944"/>
    <cellStyle name="Normal 2 3 3 7 2 3 3" xfId="10860"/>
    <cellStyle name="Normal 2 3 3 7 2 4" xfId="3312"/>
    <cellStyle name="Normal 2 3 3 7 2 4 2" xfId="7168"/>
    <cellStyle name="Normal 2 3 3 7 2 4 3" xfId="9618"/>
    <cellStyle name="Normal 2 3 3 7 2 5" xfId="4720"/>
    <cellStyle name="Normal 2 3 3 7 2 6" xfId="8375"/>
    <cellStyle name="Normal 2 3 3 7 3" xfId="1164"/>
    <cellStyle name="Normal 2 3 3 7 3 2" xfId="2390"/>
    <cellStyle name="Normal 2 3 3 7 3 2 2" xfId="6250"/>
    <cellStyle name="Normal 2 3 3 7 3 2 3" xfId="11202"/>
    <cellStyle name="Normal 2 3 3 7 3 3" xfId="3618"/>
    <cellStyle name="Normal 2 3 3 7 3 3 2" xfId="7474"/>
    <cellStyle name="Normal 2 3 3 7 3 3 3" xfId="9960"/>
    <cellStyle name="Normal 2 3 3 7 3 4" xfId="5026"/>
    <cellStyle name="Normal 2 3 3 7 3 5" xfId="8718"/>
    <cellStyle name="Normal 2 3 3 7 4" xfId="1778"/>
    <cellStyle name="Normal 2 3 3 7 4 2" xfId="5638"/>
    <cellStyle name="Normal 2 3 3 7 4 3" xfId="10572"/>
    <cellStyle name="Normal 2 3 3 7 5" xfId="3005"/>
    <cellStyle name="Normal 2 3 3 7 5 2" xfId="6862"/>
    <cellStyle name="Normal 2 3 3 7 5 3" xfId="12048"/>
    <cellStyle name="Normal 2 3 3 7 6" xfId="4414"/>
    <cellStyle name="Normal 2 3 3 7 6 2" xfId="9330"/>
    <cellStyle name="Normal 2 3 3 7 7" xfId="8087"/>
    <cellStyle name="Normal 2 3 3 8" xfId="794"/>
    <cellStyle name="Normal 2 3 3 8 2" xfId="1434"/>
    <cellStyle name="Normal 2 3 3 8 2 2" xfId="2660"/>
    <cellStyle name="Normal 2 3 3 8 2 2 2" xfId="6520"/>
    <cellStyle name="Normal 2 3 3 8 2 2 3" xfId="11472"/>
    <cellStyle name="Normal 2 3 3 8 2 3" xfId="3888"/>
    <cellStyle name="Normal 2 3 3 8 2 3 2" xfId="7744"/>
    <cellStyle name="Normal 2 3 3 8 2 3 3" xfId="10230"/>
    <cellStyle name="Normal 2 3 3 8 2 4" xfId="5296"/>
    <cellStyle name="Normal 2 3 3 8 2 5" xfId="8988"/>
    <cellStyle name="Normal 2 3 3 8 3" xfId="2048"/>
    <cellStyle name="Normal 2 3 3 8 3 2" xfId="5908"/>
    <cellStyle name="Normal 2 3 3 8 3 3" xfId="10842"/>
    <cellStyle name="Normal 2 3 3 8 4" xfId="3276"/>
    <cellStyle name="Normal 2 3 3 8 4 2" xfId="7132"/>
    <cellStyle name="Normal 2 3 3 8 4 3" xfId="9600"/>
    <cellStyle name="Normal 2 3 3 8 5" xfId="4684"/>
    <cellStyle name="Normal 2 3 3 8 6" xfId="8357"/>
    <cellStyle name="Normal 2 3 3 9" xfId="1128"/>
    <cellStyle name="Normal 2 3 3 9 2" xfId="2354"/>
    <cellStyle name="Normal 2 3 3 9 2 2" xfId="6214"/>
    <cellStyle name="Normal 2 3 3 9 2 3" xfId="11166"/>
    <cellStyle name="Normal 2 3 3 9 3" xfId="3582"/>
    <cellStyle name="Normal 2 3 3 9 3 2" xfId="7438"/>
    <cellStyle name="Normal 2 3 3 9 3 3" xfId="9924"/>
    <cellStyle name="Normal 2 3 3 9 4" xfId="4990"/>
    <cellStyle name="Normal 2 3 3 9 5" xfId="8682"/>
    <cellStyle name="Normal 2 3 4" xfId="461"/>
    <cellStyle name="Normal 2 3 4 10" xfId="4393"/>
    <cellStyle name="Normal 2 3 4 10 2" xfId="9309"/>
    <cellStyle name="Normal 2 3 4 11" xfId="8066"/>
    <cellStyle name="Normal 2 3 4 2" xfId="574"/>
    <cellStyle name="Normal 2 3 4 2 2" xfId="755"/>
    <cellStyle name="Normal 2 3 4 2 2 2" xfId="1105"/>
    <cellStyle name="Normal 2 3 4 2 2 2 2" xfId="1719"/>
    <cellStyle name="Normal 2 3 4 2 2 2 2 2" xfId="2945"/>
    <cellStyle name="Normal 2 3 4 2 2 2 2 2 2" xfId="6805"/>
    <cellStyle name="Normal 2 3 4 2 2 2 2 2 3" xfId="11757"/>
    <cellStyle name="Normal 2 3 4 2 2 2 2 3" xfId="4173"/>
    <cellStyle name="Normal 2 3 4 2 2 2 2 3 2" xfId="8029"/>
    <cellStyle name="Normal 2 3 4 2 2 2 2 3 3" xfId="10515"/>
    <cellStyle name="Normal 2 3 4 2 2 2 2 4" xfId="5581"/>
    <cellStyle name="Normal 2 3 4 2 2 2 2 5" xfId="9273"/>
    <cellStyle name="Normal 2 3 4 2 2 2 3" xfId="2333"/>
    <cellStyle name="Normal 2 3 4 2 2 2 3 2" xfId="6193"/>
    <cellStyle name="Normal 2 3 4 2 2 2 3 3" xfId="11109"/>
    <cellStyle name="Normal 2 3 4 2 2 2 4" xfId="3561"/>
    <cellStyle name="Normal 2 3 4 2 2 2 4 2" xfId="7417"/>
    <cellStyle name="Normal 2 3 4 2 2 2 4 3" xfId="9867"/>
    <cellStyle name="Normal 2 3 4 2 2 2 5" xfId="4969"/>
    <cellStyle name="Normal 2 3 4 2 2 2 6" xfId="8624"/>
    <cellStyle name="Normal 2 3 4 2 2 3" xfId="1413"/>
    <cellStyle name="Normal 2 3 4 2 2 3 2" xfId="2639"/>
    <cellStyle name="Normal 2 3 4 2 2 3 2 2" xfId="6499"/>
    <cellStyle name="Normal 2 3 4 2 2 3 2 3" xfId="11451"/>
    <cellStyle name="Normal 2 3 4 2 2 3 3" xfId="3867"/>
    <cellStyle name="Normal 2 3 4 2 2 3 3 2" xfId="7723"/>
    <cellStyle name="Normal 2 3 4 2 2 3 3 3" xfId="10209"/>
    <cellStyle name="Normal 2 3 4 2 2 3 4" xfId="5275"/>
    <cellStyle name="Normal 2 3 4 2 2 3 5" xfId="8967"/>
    <cellStyle name="Normal 2 3 4 2 2 4" xfId="2027"/>
    <cellStyle name="Normal 2 3 4 2 2 4 2" xfId="5887"/>
    <cellStyle name="Normal 2 3 4 2 2 4 3" xfId="10821"/>
    <cellStyle name="Normal 2 3 4 2 2 5" xfId="3254"/>
    <cellStyle name="Normal 2 3 4 2 2 5 2" xfId="7111"/>
    <cellStyle name="Normal 2 3 4 2 2 5 3" xfId="12027"/>
    <cellStyle name="Normal 2 3 4 2 2 6" xfId="4663"/>
    <cellStyle name="Normal 2 3 4 2 2 6 2" xfId="9579"/>
    <cellStyle name="Normal 2 3 4 2 2 7" xfId="8336"/>
    <cellStyle name="Normal 2 3 4 2 3" xfId="665"/>
    <cellStyle name="Normal 2 3 4 2 3 2" xfId="1015"/>
    <cellStyle name="Normal 2 3 4 2 3 2 2" xfId="1629"/>
    <cellStyle name="Normal 2 3 4 2 3 2 2 2" xfId="2855"/>
    <cellStyle name="Normal 2 3 4 2 3 2 2 2 2" xfId="6715"/>
    <cellStyle name="Normal 2 3 4 2 3 2 2 2 3" xfId="11667"/>
    <cellStyle name="Normal 2 3 4 2 3 2 2 3" xfId="4083"/>
    <cellStyle name="Normal 2 3 4 2 3 2 2 3 2" xfId="7939"/>
    <cellStyle name="Normal 2 3 4 2 3 2 2 3 3" xfId="10425"/>
    <cellStyle name="Normal 2 3 4 2 3 2 2 4" xfId="5491"/>
    <cellStyle name="Normal 2 3 4 2 3 2 2 5" xfId="9183"/>
    <cellStyle name="Normal 2 3 4 2 3 2 3" xfId="2243"/>
    <cellStyle name="Normal 2 3 4 2 3 2 3 2" xfId="6103"/>
    <cellStyle name="Normal 2 3 4 2 3 2 3 3" xfId="11019"/>
    <cellStyle name="Normal 2 3 4 2 3 2 4" xfId="3471"/>
    <cellStyle name="Normal 2 3 4 2 3 2 4 2" xfId="7327"/>
    <cellStyle name="Normal 2 3 4 2 3 2 4 3" xfId="9777"/>
    <cellStyle name="Normal 2 3 4 2 3 2 5" xfId="4879"/>
    <cellStyle name="Normal 2 3 4 2 3 2 6" xfId="8534"/>
    <cellStyle name="Normal 2 3 4 2 3 3" xfId="1323"/>
    <cellStyle name="Normal 2 3 4 2 3 3 2" xfId="2549"/>
    <cellStyle name="Normal 2 3 4 2 3 3 2 2" xfId="6409"/>
    <cellStyle name="Normal 2 3 4 2 3 3 2 3" xfId="11361"/>
    <cellStyle name="Normal 2 3 4 2 3 3 3" xfId="3777"/>
    <cellStyle name="Normal 2 3 4 2 3 3 3 2" xfId="7633"/>
    <cellStyle name="Normal 2 3 4 2 3 3 3 3" xfId="10119"/>
    <cellStyle name="Normal 2 3 4 2 3 3 4" xfId="5185"/>
    <cellStyle name="Normal 2 3 4 2 3 3 5" xfId="8877"/>
    <cellStyle name="Normal 2 3 4 2 3 4" xfId="1937"/>
    <cellStyle name="Normal 2 3 4 2 3 4 2" xfId="5797"/>
    <cellStyle name="Normal 2 3 4 2 3 4 3" xfId="10731"/>
    <cellStyle name="Normal 2 3 4 2 3 5" xfId="3164"/>
    <cellStyle name="Normal 2 3 4 2 3 5 2" xfId="7021"/>
    <cellStyle name="Normal 2 3 4 2 3 5 3" xfId="11937"/>
    <cellStyle name="Normal 2 3 4 2 3 6" xfId="4573"/>
    <cellStyle name="Normal 2 3 4 2 3 6 2" xfId="9489"/>
    <cellStyle name="Normal 2 3 4 2 3 7" xfId="8246"/>
    <cellStyle name="Normal 2 3 4 2 4" xfId="924"/>
    <cellStyle name="Normal 2 3 4 2 4 2" xfId="1539"/>
    <cellStyle name="Normal 2 3 4 2 4 2 2" xfId="2765"/>
    <cellStyle name="Normal 2 3 4 2 4 2 2 2" xfId="6625"/>
    <cellStyle name="Normal 2 3 4 2 4 2 2 3" xfId="11577"/>
    <cellStyle name="Normal 2 3 4 2 4 2 3" xfId="3993"/>
    <cellStyle name="Normal 2 3 4 2 4 2 3 2" xfId="7849"/>
    <cellStyle name="Normal 2 3 4 2 4 2 3 3" xfId="10335"/>
    <cellStyle name="Normal 2 3 4 2 4 2 4" xfId="5401"/>
    <cellStyle name="Normal 2 3 4 2 4 2 5" xfId="9093"/>
    <cellStyle name="Normal 2 3 4 2 4 3" xfId="2153"/>
    <cellStyle name="Normal 2 3 4 2 4 3 2" xfId="6013"/>
    <cellStyle name="Normal 2 3 4 2 4 3 3" xfId="10929"/>
    <cellStyle name="Normal 2 3 4 2 4 4" xfId="3381"/>
    <cellStyle name="Normal 2 3 4 2 4 4 2" xfId="7237"/>
    <cellStyle name="Normal 2 3 4 2 4 4 3" xfId="9687"/>
    <cellStyle name="Normal 2 3 4 2 4 5" xfId="4789"/>
    <cellStyle name="Normal 2 3 4 2 4 6" xfId="8444"/>
    <cellStyle name="Normal 2 3 4 2 5" xfId="1233"/>
    <cellStyle name="Normal 2 3 4 2 5 2" xfId="2459"/>
    <cellStyle name="Normal 2 3 4 2 5 2 2" xfId="6319"/>
    <cellStyle name="Normal 2 3 4 2 5 2 3" xfId="11271"/>
    <cellStyle name="Normal 2 3 4 2 5 3" xfId="3687"/>
    <cellStyle name="Normal 2 3 4 2 5 3 2" xfId="7543"/>
    <cellStyle name="Normal 2 3 4 2 5 3 3" xfId="10029"/>
    <cellStyle name="Normal 2 3 4 2 5 4" xfId="5095"/>
    <cellStyle name="Normal 2 3 4 2 5 5" xfId="8787"/>
    <cellStyle name="Normal 2 3 4 2 6" xfId="1847"/>
    <cellStyle name="Normal 2 3 4 2 6 2" xfId="5707"/>
    <cellStyle name="Normal 2 3 4 2 6 3" xfId="10641"/>
    <cellStyle name="Normal 2 3 4 2 7" xfId="3074"/>
    <cellStyle name="Normal 2 3 4 2 7 2" xfId="6931"/>
    <cellStyle name="Normal 2 3 4 2 7 3" xfId="11847"/>
    <cellStyle name="Normal 2 3 4 2 8" xfId="4483"/>
    <cellStyle name="Normal 2 3 4 2 8 2" xfId="9399"/>
    <cellStyle name="Normal 2 3 4 2 9" xfId="8156"/>
    <cellStyle name="Normal 2 3 4 3" xfId="719"/>
    <cellStyle name="Normal 2 3 4 3 2" xfId="1069"/>
    <cellStyle name="Normal 2 3 4 3 2 2" xfId="1683"/>
    <cellStyle name="Normal 2 3 4 3 2 2 2" xfId="2909"/>
    <cellStyle name="Normal 2 3 4 3 2 2 2 2" xfId="6769"/>
    <cellStyle name="Normal 2 3 4 3 2 2 2 3" xfId="11721"/>
    <cellStyle name="Normal 2 3 4 3 2 2 3" xfId="4137"/>
    <cellStyle name="Normal 2 3 4 3 2 2 3 2" xfId="7993"/>
    <cellStyle name="Normal 2 3 4 3 2 2 3 3" xfId="10479"/>
    <cellStyle name="Normal 2 3 4 3 2 2 4" xfId="5545"/>
    <cellStyle name="Normal 2 3 4 3 2 2 5" xfId="9237"/>
    <cellStyle name="Normal 2 3 4 3 2 3" xfId="2297"/>
    <cellStyle name="Normal 2 3 4 3 2 3 2" xfId="6157"/>
    <cellStyle name="Normal 2 3 4 3 2 3 3" xfId="11073"/>
    <cellStyle name="Normal 2 3 4 3 2 4" xfId="3525"/>
    <cellStyle name="Normal 2 3 4 3 2 4 2" xfId="7381"/>
    <cellStyle name="Normal 2 3 4 3 2 4 3" xfId="9831"/>
    <cellStyle name="Normal 2 3 4 3 2 5" xfId="4933"/>
    <cellStyle name="Normal 2 3 4 3 2 6" xfId="8588"/>
    <cellStyle name="Normal 2 3 4 3 3" xfId="1377"/>
    <cellStyle name="Normal 2 3 4 3 3 2" xfId="2603"/>
    <cellStyle name="Normal 2 3 4 3 3 2 2" xfId="6463"/>
    <cellStyle name="Normal 2 3 4 3 3 2 3" xfId="11415"/>
    <cellStyle name="Normal 2 3 4 3 3 3" xfId="3831"/>
    <cellStyle name="Normal 2 3 4 3 3 3 2" xfId="7687"/>
    <cellStyle name="Normal 2 3 4 3 3 3 3" xfId="10173"/>
    <cellStyle name="Normal 2 3 4 3 3 4" xfId="5239"/>
    <cellStyle name="Normal 2 3 4 3 3 5" xfId="8931"/>
    <cellStyle name="Normal 2 3 4 3 4" xfId="1991"/>
    <cellStyle name="Normal 2 3 4 3 4 2" xfId="5851"/>
    <cellStyle name="Normal 2 3 4 3 4 3" xfId="10785"/>
    <cellStyle name="Normal 2 3 4 3 5" xfId="3218"/>
    <cellStyle name="Normal 2 3 4 3 5 2" xfId="7075"/>
    <cellStyle name="Normal 2 3 4 3 5 3" xfId="11991"/>
    <cellStyle name="Normal 2 3 4 3 6" xfId="4627"/>
    <cellStyle name="Normal 2 3 4 3 6 2" xfId="9543"/>
    <cellStyle name="Normal 2 3 4 3 7" xfId="8300"/>
    <cellStyle name="Normal 2 3 4 4" xfId="629"/>
    <cellStyle name="Normal 2 3 4 4 2" xfId="979"/>
    <cellStyle name="Normal 2 3 4 4 2 2" xfId="1593"/>
    <cellStyle name="Normal 2 3 4 4 2 2 2" xfId="2819"/>
    <cellStyle name="Normal 2 3 4 4 2 2 2 2" xfId="6679"/>
    <cellStyle name="Normal 2 3 4 4 2 2 2 3" xfId="11631"/>
    <cellStyle name="Normal 2 3 4 4 2 2 3" xfId="4047"/>
    <cellStyle name="Normal 2 3 4 4 2 2 3 2" xfId="7903"/>
    <cellStyle name="Normal 2 3 4 4 2 2 3 3" xfId="10389"/>
    <cellStyle name="Normal 2 3 4 4 2 2 4" xfId="5455"/>
    <cellStyle name="Normal 2 3 4 4 2 2 5" xfId="9147"/>
    <cellStyle name="Normal 2 3 4 4 2 3" xfId="2207"/>
    <cellStyle name="Normal 2 3 4 4 2 3 2" xfId="6067"/>
    <cellStyle name="Normal 2 3 4 4 2 3 3" xfId="10983"/>
    <cellStyle name="Normal 2 3 4 4 2 4" xfId="3435"/>
    <cellStyle name="Normal 2 3 4 4 2 4 2" xfId="7291"/>
    <cellStyle name="Normal 2 3 4 4 2 4 3" xfId="9741"/>
    <cellStyle name="Normal 2 3 4 4 2 5" xfId="4843"/>
    <cellStyle name="Normal 2 3 4 4 2 6" xfId="8498"/>
    <cellStyle name="Normal 2 3 4 4 3" xfId="1287"/>
    <cellStyle name="Normal 2 3 4 4 3 2" xfId="2513"/>
    <cellStyle name="Normal 2 3 4 4 3 2 2" xfId="6373"/>
    <cellStyle name="Normal 2 3 4 4 3 2 3" xfId="11325"/>
    <cellStyle name="Normal 2 3 4 4 3 3" xfId="3741"/>
    <cellStyle name="Normal 2 3 4 4 3 3 2" xfId="7597"/>
    <cellStyle name="Normal 2 3 4 4 3 3 3" xfId="10083"/>
    <cellStyle name="Normal 2 3 4 4 3 4" xfId="5149"/>
    <cellStyle name="Normal 2 3 4 4 3 5" xfId="8841"/>
    <cellStyle name="Normal 2 3 4 4 4" xfId="1901"/>
    <cellStyle name="Normal 2 3 4 4 4 2" xfId="5761"/>
    <cellStyle name="Normal 2 3 4 4 4 3" xfId="10695"/>
    <cellStyle name="Normal 2 3 4 4 5" xfId="3128"/>
    <cellStyle name="Normal 2 3 4 4 5 2" xfId="6985"/>
    <cellStyle name="Normal 2 3 4 4 5 3" xfId="11901"/>
    <cellStyle name="Normal 2 3 4 4 6" xfId="4537"/>
    <cellStyle name="Normal 2 3 4 4 6 2" xfId="9453"/>
    <cellStyle name="Normal 2 3 4 4 7" xfId="8210"/>
    <cellStyle name="Normal 2 3 4 5" xfId="535"/>
    <cellStyle name="Normal 2 3 4 5 2" xfId="885"/>
    <cellStyle name="Normal 2 3 4 5 2 2" xfId="1503"/>
    <cellStyle name="Normal 2 3 4 5 2 2 2" xfId="2729"/>
    <cellStyle name="Normal 2 3 4 5 2 2 2 2" xfId="6589"/>
    <cellStyle name="Normal 2 3 4 5 2 2 2 3" xfId="11541"/>
    <cellStyle name="Normal 2 3 4 5 2 2 3" xfId="3957"/>
    <cellStyle name="Normal 2 3 4 5 2 2 3 2" xfId="7813"/>
    <cellStyle name="Normal 2 3 4 5 2 2 3 3" xfId="10299"/>
    <cellStyle name="Normal 2 3 4 5 2 2 4" xfId="5365"/>
    <cellStyle name="Normal 2 3 4 5 2 2 5" xfId="9057"/>
    <cellStyle name="Normal 2 3 4 5 2 3" xfId="2117"/>
    <cellStyle name="Normal 2 3 4 5 2 3 2" xfId="5977"/>
    <cellStyle name="Normal 2 3 4 5 2 3 3" xfId="11145"/>
    <cellStyle name="Normal 2 3 4 5 2 4" xfId="3345"/>
    <cellStyle name="Normal 2 3 4 5 2 4 2" xfId="7201"/>
    <cellStyle name="Normal 2 3 4 5 2 4 3" xfId="9903"/>
    <cellStyle name="Normal 2 3 4 5 2 5" xfId="4753"/>
    <cellStyle name="Normal 2 3 4 5 2 6" xfId="8661"/>
    <cellStyle name="Normal 2 3 4 5 3" xfId="1197"/>
    <cellStyle name="Normal 2 3 4 5 3 2" xfId="2423"/>
    <cellStyle name="Normal 2 3 4 5 3 2 2" xfId="6283"/>
    <cellStyle name="Normal 2 3 4 5 3 2 3" xfId="11235"/>
    <cellStyle name="Normal 2 3 4 5 3 3" xfId="3651"/>
    <cellStyle name="Normal 2 3 4 5 3 3 2" xfId="7507"/>
    <cellStyle name="Normal 2 3 4 5 3 3 3" xfId="9993"/>
    <cellStyle name="Normal 2 3 4 5 3 4" xfId="5059"/>
    <cellStyle name="Normal 2 3 4 5 3 5" xfId="8751"/>
    <cellStyle name="Normal 2 3 4 5 4" xfId="1811"/>
    <cellStyle name="Normal 2 3 4 5 4 2" xfId="5671"/>
    <cellStyle name="Normal 2 3 4 5 4 2 2" xfId="11127"/>
    <cellStyle name="Normal 2 3 4 5 4 3" xfId="9885"/>
    <cellStyle name="Normal 2 3 4 5 4 4" xfId="8642"/>
    <cellStyle name="Normal 2 3 4 5 5" xfId="3038"/>
    <cellStyle name="Normal 2 3 4 5 5 2" xfId="6895"/>
    <cellStyle name="Normal 2 3 4 5 5 3" xfId="10605"/>
    <cellStyle name="Normal 2 3 4 5 6" xfId="4447"/>
    <cellStyle name="Normal 2 3 4 5 6 2" xfId="9363"/>
    <cellStyle name="Normal 2 3 4 5 7" xfId="8120"/>
    <cellStyle name="Normal 2 3 4 6" xfId="811"/>
    <cellStyle name="Normal 2 3 4 6 2" xfId="1449"/>
    <cellStyle name="Normal 2 3 4 6 2 2" xfId="2675"/>
    <cellStyle name="Normal 2 3 4 6 2 2 2" xfId="6535"/>
    <cellStyle name="Normal 2 3 4 6 2 2 3" xfId="11487"/>
    <cellStyle name="Normal 2 3 4 6 2 3" xfId="3903"/>
    <cellStyle name="Normal 2 3 4 6 2 3 2" xfId="7759"/>
    <cellStyle name="Normal 2 3 4 6 2 3 3" xfId="10245"/>
    <cellStyle name="Normal 2 3 4 6 2 4" xfId="5311"/>
    <cellStyle name="Normal 2 3 4 6 2 5" xfId="9003"/>
    <cellStyle name="Normal 2 3 4 6 3" xfId="2063"/>
    <cellStyle name="Normal 2 3 4 6 3 2" xfId="5923"/>
    <cellStyle name="Normal 2 3 4 6 3 3" xfId="10893"/>
    <cellStyle name="Normal 2 3 4 6 4" xfId="3291"/>
    <cellStyle name="Normal 2 3 4 6 4 2" xfId="7147"/>
    <cellStyle name="Normal 2 3 4 6 4 3" xfId="9651"/>
    <cellStyle name="Normal 2 3 4 6 5" xfId="4699"/>
    <cellStyle name="Normal 2 3 4 6 6" xfId="8408"/>
    <cellStyle name="Normal 2 3 4 7" xfId="1143"/>
    <cellStyle name="Normal 2 3 4 7 2" xfId="2369"/>
    <cellStyle name="Normal 2 3 4 7 2 2" xfId="6229"/>
    <cellStyle name="Normal 2 3 4 7 2 3" xfId="11181"/>
    <cellStyle name="Normal 2 3 4 7 3" xfId="3597"/>
    <cellStyle name="Normal 2 3 4 7 3 2" xfId="7453"/>
    <cellStyle name="Normal 2 3 4 7 3 3" xfId="9939"/>
    <cellStyle name="Normal 2 3 4 7 4" xfId="5005"/>
    <cellStyle name="Normal 2 3 4 7 5" xfId="8697"/>
    <cellStyle name="Normal 2 3 4 8" xfId="1757"/>
    <cellStyle name="Normal 2 3 4 8 2" xfId="5617"/>
    <cellStyle name="Normal 2 3 4 8 3" xfId="10551"/>
    <cellStyle name="Normal 2 3 4 9" xfId="2984"/>
    <cellStyle name="Normal 2 3 4 9 2" xfId="6841"/>
    <cellStyle name="Normal 2 3 4 9 3" xfId="11811"/>
    <cellStyle name="Normal 2 3 5" xfId="556"/>
    <cellStyle name="Normal 2 3 5 2" xfId="737"/>
    <cellStyle name="Normal 2 3 5 2 2" xfId="1087"/>
    <cellStyle name="Normal 2 3 5 2 2 2" xfId="1701"/>
    <cellStyle name="Normal 2 3 5 2 2 2 2" xfId="2927"/>
    <cellStyle name="Normal 2 3 5 2 2 2 2 2" xfId="6787"/>
    <cellStyle name="Normal 2 3 5 2 2 2 2 3" xfId="11739"/>
    <cellStyle name="Normal 2 3 5 2 2 2 3" xfId="4155"/>
    <cellStyle name="Normal 2 3 5 2 2 2 3 2" xfId="8011"/>
    <cellStyle name="Normal 2 3 5 2 2 2 3 3" xfId="10497"/>
    <cellStyle name="Normal 2 3 5 2 2 2 4" xfId="5563"/>
    <cellStyle name="Normal 2 3 5 2 2 2 5" xfId="9255"/>
    <cellStyle name="Normal 2 3 5 2 2 3" xfId="2315"/>
    <cellStyle name="Normal 2 3 5 2 2 3 2" xfId="6175"/>
    <cellStyle name="Normal 2 3 5 2 2 3 3" xfId="11091"/>
    <cellStyle name="Normal 2 3 5 2 2 4" xfId="3543"/>
    <cellStyle name="Normal 2 3 5 2 2 4 2" xfId="7399"/>
    <cellStyle name="Normal 2 3 5 2 2 4 3" xfId="9849"/>
    <cellStyle name="Normal 2 3 5 2 2 5" xfId="4951"/>
    <cellStyle name="Normal 2 3 5 2 2 6" xfId="8606"/>
    <cellStyle name="Normal 2 3 5 2 3" xfId="1395"/>
    <cellStyle name="Normal 2 3 5 2 3 2" xfId="2621"/>
    <cellStyle name="Normal 2 3 5 2 3 2 2" xfId="6481"/>
    <cellStyle name="Normal 2 3 5 2 3 2 3" xfId="11433"/>
    <cellStyle name="Normal 2 3 5 2 3 3" xfId="3849"/>
    <cellStyle name="Normal 2 3 5 2 3 3 2" xfId="7705"/>
    <cellStyle name="Normal 2 3 5 2 3 3 3" xfId="10191"/>
    <cellStyle name="Normal 2 3 5 2 3 4" xfId="5257"/>
    <cellStyle name="Normal 2 3 5 2 3 5" xfId="8949"/>
    <cellStyle name="Normal 2 3 5 2 4" xfId="2009"/>
    <cellStyle name="Normal 2 3 5 2 4 2" xfId="5869"/>
    <cellStyle name="Normal 2 3 5 2 4 3" xfId="10803"/>
    <cellStyle name="Normal 2 3 5 2 5" xfId="3236"/>
    <cellStyle name="Normal 2 3 5 2 5 2" xfId="7093"/>
    <cellStyle name="Normal 2 3 5 2 5 3" xfId="12009"/>
    <cellStyle name="Normal 2 3 5 2 6" xfId="4645"/>
    <cellStyle name="Normal 2 3 5 2 6 2" xfId="9561"/>
    <cellStyle name="Normal 2 3 5 2 7" xfId="8318"/>
    <cellStyle name="Normal 2 3 5 3" xfId="647"/>
    <cellStyle name="Normal 2 3 5 3 2" xfId="997"/>
    <cellStyle name="Normal 2 3 5 3 2 2" xfId="1611"/>
    <cellStyle name="Normal 2 3 5 3 2 2 2" xfId="2837"/>
    <cellStyle name="Normal 2 3 5 3 2 2 2 2" xfId="6697"/>
    <cellStyle name="Normal 2 3 5 3 2 2 2 3" xfId="11649"/>
    <cellStyle name="Normal 2 3 5 3 2 2 3" xfId="4065"/>
    <cellStyle name="Normal 2 3 5 3 2 2 3 2" xfId="7921"/>
    <cellStyle name="Normal 2 3 5 3 2 2 3 3" xfId="10407"/>
    <cellStyle name="Normal 2 3 5 3 2 2 4" xfId="5473"/>
    <cellStyle name="Normal 2 3 5 3 2 2 5" xfId="9165"/>
    <cellStyle name="Normal 2 3 5 3 2 3" xfId="2225"/>
    <cellStyle name="Normal 2 3 5 3 2 3 2" xfId="6085"/>
    <cellStyle name="Normal 2 3 5 3 2 3 3" xfId="11001"/>
    <cellStyle name="Normal 2 3 5 3 2 4" xfId="3453"/>
    <cellStyle name="Normal 2 3 5 3 2 4 2" xfId="7309"/>
    <cellStyle name="Normal 2 3 5 3 2 4 3" xfId="9759"/>
    <cellStyle name="Normal 2 3 5 3 2 5" xfId="4861"/>
    <cellStyle name="Normal 2 3 5 3 2 6" xfId="8516"/>
    <cellStyle name="Normal 2 3 5 3 3" xfId="1305"/>
    <cellStyle name="Normal 2 3 5 3 3 2" xfId="2531"/>
    <cellStyle name="Normal 2 3 5 3 3 2 2" xfId="6391"/>
    <cellStyle name="Normal 2 3 5 3 3 2 3" xfId="11343"/>
    <cellStyle name="Normal 2 3 5 3 3 3" xfId="3759"/>
    <cellStyle name="Normal 2 3 5 3 3 3 2" xfId="7615"/>
    <cellStyle name="Normal 2 3 5 3 3 3 3" xfId="10101"/>
    <cellStyle name="Normal 2 3 5 3 3 4" xfId="5167"/>
    <cellStyle name="Normal 2 3 5 3 3 5" xfId="8859"/>
    <cellStyle name="Normal 2 3 5 3 4" xfId="1919"/>
    <cellStyle name="Normal 2 3 5 3 4 2" xfId="5779"/>
    <cellStyle name="Normal 2 3 5 3 4 3" xfId="10713"/>
    <cellStyle name="Normal 2 3 5 3 5" xfId="3146"/>
    <cellStyle name="Normal 2 3 5 3 5 2" xfId="7003"/>
    <cellStyle name="Normal 2 3 5 3 5 3" xfId="11919"/>
    <cellStyle name="Normal 2 3 5 3 6" xfId="4555"/>
    <cellStyle name="Normal 2 3 5 3 6 2" xfId="9471"/>
    <cellStyle name="Normal 2 3 5 3 7" xfId="8228"/>
    <cellStyle name="Normal 2 3 5 4" xfId="906"/>
    <cellStyle name="Normal 2 3 5 4 2" xfId="1521"/>
    <cellStyle name="Normal 2 3 5 4 2 2" xfId="2747"/>
    <cellStyle name="Normal 2 3 5 4 2 2 2" xfId="6607"/>
    <cellStyle name="Normal 2 3 5 4 2 2 3" xfId="11559"/>
    <cellStyle name="Normal 2 3 5 4 2 3" xfId="3975"/>
    <cellStyle name="Normal 2 3 5 4 2 3 2" xfId="7831"/>
    <cellStyle name="Normal 2 3 5 4 2 3 3" xfId="10317"/>
    <cellStyle name="Normal 2 3 5 4 2 4" xfId="5383"/>
    <cellStyle name="Normal 2 3 5 4 2 5" xfId="9075"/>
    <cellStyle name="Normal 2 3 5 4 3" xfId="2135"/>
    <cellStyle name="Normal 2 3 5 4 3 2" xfId="5995"/>
    <cellStyle name="Normal 2 3 5 4 3 3" xfId="10911"/>
    <cellStyle name="Normal 2 3 5 4 4" xfId="3363"/>
    <cellStyle name="Normal 2 3 5 4 4 2" xfId="7219"/>
    <cellStyle name="Normal 2 3 5 4 4 3" xfId="9669"/>
    <cellStyle name="Normal 2 3 5 4 5" xfId="4771"/>
    <cellStyle name="Normal 2 3 5 4 6" xfId="8426"/>
    <cellStyle name="Normal 2 3 5 5" xfId="1215"/>
    <cellStyle name="Normal 2 3 5 5 2" xfId="2441"/>
    <cellStyle name="Normal 2 3 5 5 2 2" xfId="6301"/>
    <cellStyle name="Normal 2 3 5 5 2 3" xfId="11253"/>
    <cellStyle name="Normal 2 3 5 5 3" xfId="3669"/>
    <cellStyle name="Normal 2 3 5 5 3 2" xfId="7525"/>
    <cellStyle name="Normal 2 3 5 5 3 3" xfId="10011"/>
    <cellStyle name="Normal 2 3 5 5 4" xfId="5077"/>
    <cellStyle name="Normal 2 3 5 5 5" xfId="8769"/>
    <cellStyle name="Normal 2 3 5 6" xfId="1829"/>
    <cellStyle name="Normal 2 3 5 6 2" xfId="5689"/>
    <cellStyle name="Normal 2 3 5 6 3" xfId="10623"/>
    <cellStyle name="Normal 2 3 5 7" xfId="3056"/>
    <cellStyle name="Normal 2 3 5 7 2" xfId="6913"/>
    <cellStyle name="Normal 2 3 5 7 3" xfId="11829"/>
    <cellStyle name="Normal 2 3 5 8" xfId="4465"/>
    <cellStyle name="Normal 2 3 5 8 2" xfId="9381"/>
    <cellStyle name="Normal 2 3 5 9" xfId="8138"/>
    <cellStyle name="Normal 2 3 6" xfId="499"/>
    <cellStyle name="Normal 2 3 6 2" xfId="701"/>
    <cellStyle name="Normal 2 3 6 2 2" xfId="1051"/>
    <cellStyle name="Normal 2 3 6 2 2 2" xfId="1665"/>
    <cellStyle name="Normal 2 3 6 2 2 2 2" xfId="2891"/>
    <cellStyle name="Normal 2 3 6 2 2 2 2 2" xfId="6751"/>
    <cellStyle name="Normal 2 3 6 2 2 2 2 3" xfId="11703"/>
    <cellStyle name="Normal 2 3 6 2 2 2 3" xfId="4119"/>
    <cellStyle name="Normal 2 3 6 2 2 2 3 2" xfId="7975"/>
    <cellStyle name="Normal 2 3 6 2 2 2 3 3" xfId="10461"/>
    <cellStyle name="Normal 2 3 6 2 2 2 4" xfId="5527"/>
    <cellStyle name="Normal 2 3 6 2 2 2 5" xfId="9219"/>
    <cellStyle name="Normal 2 3 6 2 2 3" xfId="2279"/>
    <cellStyle name="Normal 2 3 6 2 2 3 2" xfId="6139"/>
    <cellStyle name="Normal 2 3 6 2 2 3 3" xfId="11055"/>
    <cellStyle name="Normal 2 3 6 2 2 4" xfId="3507"/>
    <cellStyle name="Normal 2 3 6 2 2 4 2" xfId="7363"/>
    <cellStyle name="Normal 2 3 6 2 2 4 3" xfId="9813"/>
    <cellStyle name="Normal 2 3 6 2 2 5" xfId="4915"/>
    <cellStyle name="Normal 2 3 6 2 2 6" xfId="8570"/>
    <cellStyle name="Normal 2 3 6 2 3" xfId="1359"/>
    <cellStyle name="Normal 2 3 6 2 3 2" xfId="2585"/>
    <cellStyle name="Normal 2 3 6 2 3 2 2" xfId="6445"/>
    <cellStyle name="Normal 2 3 6 2 3 2 3" xfId="11397"/>
    <cellStyle name="Normal 2 3 6 2 3 3" xfId="3813"/>
    <cellStyle name="Normal 2 3 6 2 3 3 2" xfId="7669"/>
    <cellStyle name="Normal 2 3 6 2 3 3 3" xfId="10155"/>
    <cellStyle name="Normal 2 3 6 2 3 4" xfId="5221"/>
    <cellStyle name="Normal 2 3 6 2 3 5" xfId="8913"/>
    <cellStyle name="Normal 2 3 6 2 4" xfId="1973"/>
    <cellStyle name="Normal 2 3 6 2 4 2" xfId="5833"/>
    <cellStyle name="Normal 2 3 6 2 4 3" xfId="10767"/>
    <cellStyle name="Normal 2 3 6 2 5" xfId="3200"/>
    <cellStyle name="Normal 2 3 6 2 5 2" xfId="7057"/>
    <cellStyle name="Normal 2 3 6 2 5 3" xfId="11973"/>
    <cellStyle name="Normal 2 3 6 2 6" xfId="4609"/>
    <cellStyle name="Normal 2 3 6 2 6 2" xfId="9525"/>
    <cellStyle name="Normal 2 3 6 2 7" xfId="8282"/>
    <cellStyle name="Normal 2 3 6 3" xfId="611"/>
    <cellStyle name="Normal 2 3 6 3 2" xfId="961"/>
    <cellStyle name="Normal 2 3 6 3 2 2" xfId="1575"/>
    <cellStyle name="Normal 2 3 6 3 2 2 2" xfId="2801"/>
    <cellStyle name="Normal 2 3 6 3 2 2 2 2" xfId="6661"/>
    <cellStyle name="Normal 2 3 6 3 2 2 2 3" xfId="11613"/>
    <cellStyle name="Normal 2 3 6 3 2 2 3" xfId="4029"/>
    <cellStyle name="Normal 2 3 6 3 2 2 3 2" xfId="7885"/>
    <cellStyle name="Normal 2 3 6 3 2 2 3 3" xfId="10371"/>
    <cellStyle name="Normal 2 3 6 3 2 2 4" xfId="5437"/>
    <cellStyle name="Normal 2 3 6 3 2 2 5" xfId="9129"/>
    <cellStyle name="Normal 2 3 6 3 2 3" xfId="2189"/>
    <cellStyle name="Normal 2 3 6 3 2 3 2" xfId="6049"/>
    <cellStyle name="Normal 2 3 6 3 2 3 3" xfId="10965"/>
    <cellStyle name="Normal 2 3 6 3 2 4" xfId="3417"/>
    <cellStyle name="Normal 2 3 6 3 2 4 2" xfId="7273"/>
    <cellStyle name="Normal 2 3 6 3 2 4 3" xfId="9723"/>
    <cellStyle name="Normal 2 3 6 3 2 5" xfId="4825"/>
    <cellStyle name="Normal 2 3 6 3 2 6" xfId="8480"/>
    <cellStyle name="Normal 2 3 6 3 3" xfId="1269"/>
    <cellStyle name="Normal 2 3 6 3 3 2" xfId="2495"/>
    <cellStyle name="Normal 2 3 6 3 3 2 2" xfId="6355"/>
    <cellStyle name="Normal 2 3 6 3 3 2 3" xfId="11307"/>
    <cellStyle name="Normal 2 3 6 3 3 3" xfId="3723"/>
    <cellStyle name="Normal 2 3 6 3 3 3 2" xfId="7579"/>
    <cellStyle name="Normal 2 3 6 3 3 3 3" xfId="10065"/>
    <cellStyle name="Normal 2 3 6 3 3 4" xfId="5131"/>
    <cellStyle name="Normal 2 3 6 3 3 5" xfId="8823"/>
    <cellStyle name="Normal 2 3 6 3 4" xfId="1883"/>
    <cellStyle name="Normal 2 3 6 3 4 2" xfId="5743"/>
    <cellStyle name="Normal 2 3 6 3 4 3" xfId="10677"/>
    <cellStyle name="Normal 2 3 6 3 5" xfId="3110"/>
    <cellStyle name="Normal 2 3 6 3 5 2" xfId="6967"/>
    <cellStyle name="Normal 2 3 6 3 5 3" xfId="11883"/>
    <cellStyle name="Normal 2 3 6 3 6" xfId="4519"/>
    <cellStyle name="Normal 2 3 6 3 6 2" xfId="9435"/>
    <cellStyle name="Normal 2 3 6 3 7" xfId="8192"/>
    <cellStyle name="Normal 2 3 6 4" xfId="849"/>
    <cellStyle name="Normal 2 3 6 4 2" xfId="1485"/>
    <cellStyle name="Normal 2 3 6 4 2 2" xfId="2711"/>
    <cellStyle name="Normal 2 3 6 4 2 2 2" xfId="6571"/>
    <cellStyle name="Normal 2 3 6 4 2 2 3" xfId="11523"/>
    <cellStyle name="Normal 2 3 6 4 2 3" xfId="3939"/>
    <cellStyle name="Normal 2 3 6 4 2 3 2" xfId="7795"/>
    <cellStyle name="Normal 2 3 6 4 2 3 3" xfId="10281"/>
    <cellStyle name="Normal 2 3 6 4 2 4" xfId="5347"/>
    <cellStyle name="Normal 2 3 6 4 2 5" xfId="9039"/>
    <cellStyle name="Normal 2 3 6 4 3" xfId="2099"/>
    <cellStyle name="Normal 2 3 6 4 3 2" xfId="5959"/>
    <cellStyle name="Normal 2 3 6 4 3 3" xfId="10875"/>
    <cellStyle name="Normal 2 3 6 4 4" xfId="3327"/>
    <cellStyle name="Normal 2 3 6 4 4 2" xfId="7183"/>
    <cellStyle name="Normal 2 3 6 4 4 3" xfId="9633"/>
    <cellStyle name="Normal 2 3 6 4 5" xfId="4735"/>
    <cellStyle name="Normal 2 3 6 4 6" xfId="8390"/>
    <cellStyle name="Normal 2 3 6 5" xfId="1179"/>
    <cellStyle name="Normal 2 3 6 5 2" xfId="2405"/>
    <cellStyle name="Normal 2 3 6 5 2 2" xfId="6265"/>
    <cellStyle name="Normal 2 3 6 5 2 3" xfId="11217"/>
    <cellStyle name="Normal 2 3 6 5 3" xfId="3633"/>
    <cellStyle name="Normal 2 3 6 5 3 2" xfId="7489"/>
    <cellStyle name="Normal 2 3 6 5 3 3" xfId="9975"/>
    <cellStyle name="Normal 2 3 6 5 4" xfId="5041"/>
    <cellStyle name="Normal 2 3 6 5 5" xfId="8733"/>
    <cellStyle name="Normal 2 3 6 6" xfId="1793"/>
    <cellStyle name="Normal 2 3 6 6 2" xfId="5653"/>
    <cellStyle name="Normal 2 3 6 6 3" xfId="10587"/>
    <cellStyle name="Normal 2 3 6 7" xfId="3020"/>
    <cellStyle name="Normal 2 3 6 7 2" xfId="6877"/>
    <cellStyle name="Normal 2 3 6 7 3" xfId="11793"/>
    <cellStyle name="Normal 2 3 6 8" xfId="4429"/>
    <cellStyle name="Normal 2 3 6 8 2" xfId="9345"/>
    <cellStyle name="Normal 2 3 6 9" xfId="8102"/>
    <cellStyle name="Normal 2 3 7" xfId="683"/>
    <cellStyle name="Normal 2 3 7 2" xfId="1033"/>
    <cellStyle name="Normal 2 3 7 2 2" xfId="1647"/>
    <cellStyle name="Normal 2 3 7 2 2 2" xfId="2873"/>
    <cellStyle name="Normal 2 3 7 2 2 2 2" xfId="6733"/>
    <cellStyle name="Normal 2 3 7 2 2 2 3" xfId="11685"/>
    <cellStyle name="Normal 2 3 7 2 2 3" xfId="4101"/>
    <cellStyle name="Normal 2 3 7 2 2 3 2" xfId="7957"/>
    <cellStyle name="Normal 2 3 7 2 2 3 3" xfId="10443"/>
    <cellStyle name="Normal 2 3 7 2 2 4" xfId="5509"/>
    <cellStyle name="Normal 2 3 7 2 2 5" xfId="9201"/>
    <cellStyle name="Normal 2 3 7 2 3" xfId="2261"/>
    <cellStyle name="Normal 2 3 7 2 3 2" xfId="6121"/>
    <cellStyle name="Normal 2 3 7 2 3 3" xfId="11037"/>
    <cellStyle name="Normal 2 3 7 2 4" xfId="3489"/>
    <cellStyle name="Normal 2 3 7 2 4 2" xfId="7345"/>
    <cellStyle name="Normal 2 3 7 2 4 3" xfId="9795"/>
    <cellStyle name="Normal 2 3 7 2 5" xfId="4897"/>
    <cellStyle name="Normal 2 3 7 2 6" xfId="8552"/>
    <cellStyle name="Normal 2 3 7 3" xfId="1341"/>
    <cellStyle name="Normal 2 3 7 3 2" xfId="2567"/>
    <cellStyle name="Normal 2 3 7 3 2 2" xfId="6427"/>
    <cellStyle name="Normal 2 3 7 3 2 3" xfId="11379"/>
    <cellStyle name="Normal 2 3 7 3 3" xfId="3795"/>
    <cellStyle name="Normal 2 3 7 3 3 2" xfId="7651"/>
    <cellStyle name="Normal 2 3 7 3 3 3" xfId="10137"/>
    <cellStyle name="Normal 2 3 7 3 4" xfId="5203"/>
    <cellStyle name="Normal 2 3 7 3 5" xfId="8895"/>
    <cellStyle name="Normal 2 3 7 4" xfId="1955"/>
    <cellStyle name="Normal 2 3 7 4 2" xfId="5815"/>
    <cellStyle name="Normal 2 3 7 4 3" xfId="10749"/>
    <cellStyle name="Normal 2 3 7 5" xfId="3182"/>
    <cellStyle name="Normal 2 3 7 5 2" xfId="7039"/>
    <cellStyle name="Normal 2 3 7 5 3" xfId="11955"/>
    <cellStyle name="Normal 2 3 7 6" xfId="4591"/>
    <cellStyle name="Normal 2 3 7 6 2" xfId="9507"/>
    <cellStyle name="Normal 2 3 7 7" xfId="8264"/>
    <cellStyle name="Normal 2 3 8" xfId="593"/>
    <cellStyle name="Normal 2 3 8 2" xfId="943"/>
    <cellStyle name="Normal 2 3 8 2 2" xfId="1557"/>
    <cellStyle name="Normal 2 3 8 2 2 2" xfId="2783"/>
    <cellStyle name="Normal 2 3 8 2 2 2 2" xfId="6643"/>
    <cellStyle name="Normal 2 3 8 2 2 2 3" xfId="11595"/>
    <cellStyle name="Normal 2 3 8 2 2 3" xfId="4011"/>
    <cellStyle name="Normal 2 3 8 2 2 3 2" xfId="7867"/>
    <cellStyle name="Normal 2 3 8 2 2 3 3" xfId="10353"/>
    <cellStyle name="Normal 2 3 8 2 2 4" xfId="5419"/>
    <cellStyle name="Normal 2 3 8 2 2 5" xfId="9111"/>
    <cellStyle name="Normal 2 3 8 2 3" xfId="2171"/>
    <cellStyle name="Normal 2 3 8 2 3 2" xfId="6031"/>
    <cellStyle name="Normal 2 3 8 2 3 3" xfId="10947"/>
    <cellStyle name="Normal 2 3 8 2 4" xfId="3399"/>
    <cellStyle name="Normal 2 3 8 2 4 2" xfId="7255"/>
    <cellStyle name="Normal 2 3 8 2 4 3" xfId="9705"/>
    <cellStyle name="Normal 2 3 8 2 5" xfId="4807"/>
    <cellStyle name="Normal 2 3 8 2 6" xfId="8462"/>
    <cellStyle name="Normal 2 3 8 3" xfId="1251"/>
    <cellStyle name="Normal 2 3 8 3 2" xfId="2477"/>
    <cellStyle name="Normal 2 3 8 3 2 2" xfId="6337"/>
    <cellStyle name="Normal 2 3 8 3 2 3" xfId="11289"/>
    <cellStyle name="Normal 2 3 8 3 3" xfId="3705"/>
    <cellStyle name="Normal 2 3 8 3 3 2" xfId="7561"/>
    <cellStyle name="Normal 2 3 8 3 3 3" xfId="10047"/>
    <cellStyle name="Normal 2 3 8 3 4" xfId="5113"/>
    <cellStyle name="Normal 2 3 8 3 5" xfId="8805"/>
    <cellStyle name="Normal 2 3 8 4" xfId="1865"/>
    <cellStyle name="Normal 2 3 8 4 2" xfId="5725"/>
    <cellStyle name="Normal 2 3 8 4 3" xfId="10659"/>
    <cellStyle name="Normal 2 3 8 5" xfId="3092"/>
    <cellStyle name="Normal 2 3 8 5 2" xfId="6949"/>
    <cellStyle name="Normal 2 3 8 5 3" xfId="11865"/>
    <cellStyle name="Normal 2 3 8 6" xfId="4501"/>
    <cellStyle name="Normal 2 3 8 6 2" xfId="9417"/>
    <cellStyle name="Normal 2 3 8 7" xfId="8174"/>
    <cellStyle name="Normal 2 3 9" xfId="479"/>
    <cellStyle name="Normal 2 3 9 2" xfId="829"/>
    <cellStyle name="Normal 2 3 9 2 2" xfId="1467"/>
    <cellStyle name="Normal 2 3 9 2 2 2" xfId="2693"/>
    <cellStyle name="Normal 2 3 9 2 2 2 2" xfId="6553"/>
    <cellStyle name="Normal 2 3 9 2 2 2 3" xfId="11505"/>
    <cellStyle name="Normal 2 3 9 2 2 3" xfId="3921"/>
    <cellStyle name="Normal 2 3 9 2 2 3 2" xfId="7777"/>
    <cellStyle name="Normal 2 3 9 2 2 3 3" xfId="10263"/>
    <cellStyle name="Normal 2 3 9 2 2 4" xfId="5329"/>
    <cellStyle name="Normal 2 3 9 2 2 5" xfId="9021"/>
    <cellStyle name="Normal 2 3 9 2 3" xfId="2081"/>
    <cellStyle name="Normal 2 3 9 2 3 2" xfId="5941"/>
    <cellStyle name="Normal 2 3 9 2 3 3" xfId="10857"/>
    <cellStyle name="Normal 2 3 9 2 4" xfId="3309"/>
    <cellStyle name="Normal 2 3 9 2 4 2" xfId="7165"/>
    <cellStyle name="Normal 2 3 9 2 4 3" xfId="9615"/>
    <cellStyle name="Normal 2 3 9 2 5" xfId="4717"/>
    <cellStyle name="Normal 2 3 9 2 6" xfId="8372"/>
    <cellStyle name="Normal 2 3 9 3" xfId="1161"/>
    <cellStyle name="Normal 2 3 9 3 2" xfId="2387"/>
    <cellStyle name="Normal 2 3 9 3 2 2" xfId="6247"/>
    <cellStyle name="Normal 2 3 9 3 2 3" xfId="11199"/>
    <cellStyle name="Normal 2 3 9 3 3" xfId="3615"/>
    <cellStyle name="Normal 2 3 9 3 3 2" xfId="7471"/>
    <cellStyle name="Normal 2 3 9 3 3 3" xfId="9957"/>
    <cellStyle name="Normal 2 3 9 3 4" xfId="5023"/>
    <cellStyle name="Normal 2 3 9 3 5" xfId="8715"/>
    <cellStyle name="Normal 2 3 9 4" xfId="1775"/>
    <cellStyle name="Normal 2 3 9 4 2" xfId="5635"/>
    <cellStyle name="Normal 2 3 9 4 3" xfId="10569"/>
    <cellStyle name="Normal 2 3 9 5" xfId="3002"/>
    <cellStyle name="Normal 2 3 9 5 2" xfId="6859"/>
    <cellStyle name="Normal 2 3 9 5 3" xfId="12045"/>
    <cellStyle name="Normal 2 3 9 6" xfId="4411"/>
    <cellStyle name="Normal 2 3 9 6 2" xfId="9327"/>
    <cellStyle name="Normal 2 3 9 7" xfId="8084"/>
    <cellStyle name="Normal 2 30" xfId="167"/>
    <cellStyle name="Normal 2 30 2" xfId="4250"/>
    <cellStyle name="Normal 2 31" xfId="168"/>
    <cellStyle name="Normal 2 31 2" xfId="4251"/>
    <cellStyle name="Normal 2 32" xfId="169"/>
    <cellStyle name="Normal 2 32 2" xfId="4252"/>
    <cellStyle name="Normal 2 33" xfId="170"/>
    <cellStyle name="Normal 2 33 2" xfId="4253"/>
    <cellStyle name="Normal 2 34" xfId="171"/>
    <cellStyle name="Normal 2 34 2" xfId="4254"/>
    <cellStyle name="Normal 2 35" xfId="172"/>
    <cellStyle name="Normal 2 35 2" xfId="4255"/>
    <cellStyle name="Normal 2 36" xfId="173"/>
    <cellStyle name="Normal 2 36 2" xfId="4256"/>
    <cellStyle name="Normal 2 37" xfId="174"/>
    <cellStyle name="Normal 2 37 2" xfId="4257"/>
    <cellStyle name="Normal 2 38" xfId="175"/>
    <cellStyle name="Normal 2 38 2" xfId="4258"/>
    <cellStyle name="Normal 2 39" xfId="176"/>
    <cellStyle name="Normal 2 39 2" xfId="4259"/>
    <cellStyle name="Normal 2 4" xfId="177"/>
    <cellStyle name="Normal 2 4 10" xfId="1129"/>
    <cellStyle name="Normal 2 4 10 2" xfId="2355"/>
    <cellStyle name="Normal 2 4 10 2 2" xfId="6215"/>
    <cellStyle name="Normal 2 4 10 2 3" xfId="11167"/>
    <cellStyle name="Normal 2 4 10 3" xfId="3583"/>
    <cellStyle name="Normal 2 4 10 3 2" xfId="7439"/>
    <cellStyle name="Normal 2 4 10 3 3" xfId="9925"/>
    <cellStyle name="Normal 2 4 10 4" xfId="4991"/>
    <cellStyle name="Normal 2 4 10 5" xfId="8683"/>
    <cellStyle name="Normal 2 4 11" xfId="444"/>
    <cellStyle name="Normal 2 4 11 2" xfId="4379"/>
    <cellStyle name="Normal 2 4 11 3" xfId="10537"/>
    <cellStyle name="Normal 2 4 12" xfId="1743"/>
    <cellStyle name="Normal 2 4 12 2" xfId="5603"/>
    <cellStyle name="Normal 2 4 12 3" xfId="11779"/>
    <cellStyle name="Normal 2 4 13" xfId="2970"/>
    <cellStyle name="Normal 2 4 13 2" xfId="6827"/>
    <cellStyle name="Normal 2 4 13 3" xfId="9295"/>
    <cellStyle name="Normal 2 4 14" xfId="8052"/>
    <cellStyle name="Normal 2 4 2" xfId="178"/>
    <cellStyle name="Normal 2 4 2 10" xfId="445"/>
    <cellStyle name="Normal 2 4 2 10 2" xfId="4380"/>
    <cellStyle name="Normal 2 4 2 10 3" xfId="10538"/>
    <cellStyle name="Normal 2 4 2 11" xfId="1744"/>
    <cellStyle name="Normal 2 4 2 11 2" xfId="5604"/>
    <cellStyle name="Normal 2 4 2 11 3" xfId="11780"/>
    <cellStyle name="Normal 2 4 2 12" xfId="2971"/>
    <cellStyle name="Normal 2 4 2 12 2" xfId="6828"/>
    <cellStyle name="Normal 2 4 2 12 3" xfId="9296"/>
    <cellStyle name="Normal 2 4 2 13" xfId="4260"/>
    <cellStyle name="Normal 2 4 2 14" xfId="8053"/>
    <cellStyle name="Normal 2 4 2 2" xfId="466"/>
    <cellStyle name="Normal 2 4 2 2 10" xfId="4398"/>
    <cellStyle name="Normal 2 4 2 2 10 2" xfId="9314"/>
    <cellStyle name="Normal 2 4 2 2 11" xfId="8071"/>
    <cellStyle name="Normal 2 4 2 2 2" xfId="579"/>
    <cellStyle name="Normal 2 4 2 2 2 2" xfId="760"/>
    <cellStyle name="Normal 2 4 2 2 2 2 2" xfId="1110"/>
    <cellStyle name="Normal 2 4 2 2 2 2 2 2" xfId="1724"/>
    <cellStyle name="Normal 2 4 2 2 2 2 2 2 2" xfId="2950"/>
    <cellStyle name="Normal 2 4 2 2 2 2 2 2 2 2" xfId="6810"/>
    <cellStyle name="Normal 2 4 2 2 2 2 2 2 2 3" xfId="11762"/>
    <cellStyle name="Normal 2 4 2 2 2 2 2 2 3" xfId="4178"/>
    <cellStyle name="Normal 2 4 2 2 2 2 2 2 3 2" xfId="8034"/>
    <cellStyle name="Normal 2 4 2 2 2 2 2 2 3 3" xfId="10520"/>
    <cellStyle name="Normal 2 4 2 2 2 2 2 2 4" xfId="5586"/>
    <cellStyle name="Normal 2 4 2 2 2 2 2 2 5" xfId="9278"/>
    <cellStyle name="Normal 2 4 2 2 2 2 2 3" xfId="2338"/>
    <cellStyle name="Normal 2 4 2 2 2 2 2 3 2" xfId="6198"/>
    <cellStyle name="Normal 2 4 2 2 2 2 2 3 3" xfId="11114"/>
    <cellStyle name="Normal 2 4 2 2 2 2 2 4" xfId="3566"/>
    <cellStyle name="Normal 2 4 2 2 2 2 2 4 2" xfId="7422"/>
    <cellStyle name="Normal 2 4 2 2 2 2 2 4 3" xfId="9872"/>
    <cellStyle name="Normal 2 4 2 2 2 2 2 5" xfId="4974"/>
    <cellStyle name="Normal 2 4 2 2 2 2 2 6" xfId="8629"/>
    <cellStyle name="Normal 2 4 2 2 2 2 3" xfId="1418"/>
    <cellStyle name="Normal 2 4 2 2 2 2 3 2" xfId="2644"/>
    <cellStyle name="Normal 2 4 2 2 2 2 3 2 2" xfId="6504"/>
    <cellStyle name="Normal 2 4 2 2 2 2 3 2 3" xfId="11456"/>
    <cellStyle name="Normal 2 4 2 2 2 2 3 3" xfId="3872"/>
    <cellStyle name="Normal 2 4 2 2 2 2 3 3 2" xfId="7728"/>
    <cellStyle name="Normal 2 4 2 2 2 2 3 3 3" xfId="10214"/>
    <cellStyle name="Normal 2 4 2 2 2 2 3 4" xfId="5280"/>
    <cellStyle name="Normal 2 4 2 2 2 2 3 5" xfId="8972"/>
    <cellStyle name="Normal 2 4 2 2 2 2 4" xfId="2032"/>
    <cellStyle name="Normal 2 4 2 2 2 2 4 2" xfId="5892"/>
    <cellStyle name="Normal 2 4 2 2 2 2 4 3" xfId="10826"/>
    <cellStyle name="Normal 2 4 2 2 2 2 5" xfId="3259"/>
    <cellStyle name="Normal 2 4 2 2 2 2 5 2" xfId="7116"/>
    <cellStyle name="Normal 2 4 2 2 2 2 5 3" xfId="12032"/>
    <cellStyle name="Normal 2 4 2 2 2 2 6" xfId="4668"/>
    <cellStyle name="Normal 2 4 2 2 2 2 6 2" xfId="9584"/>
    <cellStyle name="Normal 2 4 2 2 2 2 7" xfId="8341"/>
    <cellStyle name="Normal 2 4 2 2 2 3" xfId="670"/>
    <cellStyle name="Normal 2 4 2 2 2 3 2" xfId="1020"/>
    <cellStyle name="Normal 2 4 2 2 2 3 2 2" xfId="1634"/>
    <cellStyle name="Normal 2 4 2 2 2 3 2 2 2" xfId="2860"/>
    <cellStyle name="Normal 2 4 2 2 2 3 2 2 2 2" xfId="6720"/>
    <cellStyle name="Normal 2 4 2 2 2 3 2 2 2 3" xfId="11672"/>
    <cellStyle name="Normal 2 4 2 2 2 3 2 2 3" xfId="4088"/>
    <cellStyle name="Normal 2 4 2 2 2 3 2 2 3 2" xfId="7944"/>
    <cellStyle name="Normal 2 4 2 2 2 3 2 2 3 3" xfId="10430"/>
    <cellStyle name="Normal 2 4 2 2 2 3 2 2 4" xfId="5496"/>
    <cellStyle name="Normal 2 4 2 2 2 3 2 2 5" xfId="9188"/>
    <cellStyle name="Normal 2 4 2 2 2 3 2 3" xfId="2248"/>
    <cellStyle name="Normal 2 4 2 2 2 3 2 3 2" xfId="6108"/>
    <cellStyle name="Normal 2 4 2 2 2 3 2 3 3" xfId="11024"/>
    <cellStyle name="Normal 2 4 2 2 2 3 2 4" xfId="3476"/>
    <cellStyle name="Normal 2 4 2 2 2 3 2 4 2" xfId="7332"/>
    <cellStyle name="Normal 2 4 2 2 2 3 2 4 3" xfId="9782"/>
    <cellStyle name="Normal 2 4 2 2 2 3 2 5" xfId="4884"/>
    <cellStyle name="Normal 2 4 2 2 2 3 2 6" xfId="8539"/>
    <cellStyle name="Normal 2 4 2 2 2 3 3" xfId="1328"/>
    <cellStyle name="Normal 2 4 2 2 2 3 3 2" xfId="2554"/>
    <cellStyle name="Normal 2 4 2 2 2 3 3 2 2" xfId="6414"/>
    <cellStyle name="Normal 2 4 2 2 2 3 3 2 3" xfId="11366"/>
    <cellStyle name="Normal 2 4 2 2 2 3 3 3" xfId="3782"/>
    <cellStyle name="Normal 2 4 2 2 2 3 3 3 2" xfId="7638"/>
    <cellStyle name="Normal 2 4 2 2 2 3 3 3 3" xfId="10124"/>
    <cellStyle name="Normal 2 4 2 2 2 3 3 4" xfId="5190"/>
    <cellStyle name="Normal 2 4 2 2 2 3 3 5" xfId="8882"/>
    <cellStyle name="Normal 2 4 2 2 2 3 4" xfId="1942"/>
    <cellStyle name="Normal 2 4 2 2 2 3 4 2" xfId="5802"/>
    <cellStyle name="Normal 2 4 2 2 2 3 4 3" xfId="10736"/>
    <cellStyle name="Normal 2 4 2 2 2 3 5" xfId="3169"/>
    <cellStyle name="Normal 2 4 2 2 2 3 5 2" xfId="7026"/>
    <cellStyle name="Normal 2 4 2 2 2 3 5 3" xfId="11942"/>
    <cellStyle name="Normal 2 4 2 2 2 3 6" xfId="4578"/>
    <cellStyle name="Normal 2 4 2 2 2 3 6 2" xfId="9494"/>
    <cellStyle name="Normal 2 4 2 2 2 3 7" xfId="8251"/>
    <cellStyle name="Normal 2 4 2 2 2 4" xfId="929"/>
    <cellStyle name="Normal 2 4 2 2 2 4 2" xfId="1544"/>
    <cellStyle name="Normal 2 4 2 2 2 4 2 2" xfId="2770"/>
    <cellStyle name="Normal 2 4 2 2 2 4 2 2 2" xfId="6630"/>
    <cellStyle name="Normal 2 4 2 2 2 4 2 2 3" xfId="11582"/>
    <cellStyle name="Normal 2 4 2 2 2 4 2 3" xfId="3998"/>
    <cellStyle name="Normal 2 4 2 2 2 4 2 3 2" xfId="7854"/>
    <cellStyle name="Normal 2 4 2 2 2 4 2 3 3" xfId="10340"/>
    <cellStyle name="Normal 2 4 2 2 2 4 2 4" xfId="5406"/>
    <cellStyle name="Normal 2 4 2 2 2 4 2 5" xfId="9098"/>
    <cellStyle name="Normal 2 4 2 2 2 4 3" xfId="2158"/>
    <cellStyle name="Normal 2 4 2 2 2 4 3 2" xfId="6018"/>
    <cellStyle name="Normal 2 4 2 2 2 4 3 3" xfId="10934"/>
    <cellStyle name="Normal 2 4 2 2 2 4 4" xfId="3386"/>
    <cellStyle name="Normal 2 4 2 2 2 4 4 2" xfId="7242"/>
    <cellStyle name="Normal 2 4 2 2 2 4 4 3" xfId="9692"/>
    <cellStyle name="Normal 2 4 2 2 2 4 5" xfId="4794"/>
    <cellStyle name="Normal 2 4 2 2 2 4 6" xfId="8449"/>
    <cellStyle name="Normal 2 4 2 2 2 5" xfId="1238"/>
    <cellStyle name="Normal 2 4 2 2 2 5 2" xfId="2464"/>
    <cellStyle name="Normal 2 4 2 2 2 5 2 2" xfId="6324"/>
    <cellStyle name="Normal 2 4 2 2 2 5 2 3" xfId="11276"/>
    <cellStyle name="Normal 2 4 2 2 2 5 3" xfId="3692"/>
    <cellStyle name="Normal 2 4 2 2 2 5 3 2" xfId="7548"/>
    <cellStyle name="Normal 2 4 2 2 2 5 3 3" xfId="10034"/>
    <cellStyle name="Normal 2 4 2 2 2 5 4" xfId="5100"/>
    <cellStyle name="Normal 2 4 2 2 2 5 5" xfId="8792"/>
    <cellStyle name="Normal 2 4 2 2 2 6" xfId="1852"/>
    <cellStyle name="Normal 2 4 2 2 2 6 2" xfId="5712"/>
    <cellStyle name="Normal 2 4 2 2 2 6 3" xfId="10646"/>
    <cellStyle name="Normal 2 4 2 2 2 7" xfId="3079"/>
    <cellStyle name="Normal 2 4 2 2 2 7 2" xfId="6936"/>
    <cellStyle name="Normal 2 4 2 2 2 7 3" xfId="11852"/>
    <cellStyle name="Normal 2 4 2 2 2 8" xfId="4488"/>
    <cellStyle name="Normal 2 4 2 2 2 8 2" xfId="9404"/>
    <cellStyle name="Normal 2 4 2 2 2 9" xfId="8161"/>
    <cellStyle name="Normal 2 4 2 2 3" xfId="724"/>
    <cellStyle name="Normal 2 4 2 2 3 2" xfId="1074"/>
    <cellStyle name="Normal 2 4 2 2 3 2 2" xfId="1688"/>
    <cellStyle name="Normal 2 4 2 2 3 2 2 2" xfId="2914"/>
    <cellStyle name="Normal 2 4 2 2 3 2 2 2 2" xfId="6774"/>
    <cellStyle name="Normal 2 4 2 2 3 2 2 2 3" xfId="11726"/>
    <cellStyle name="Normal 2 4 2 2 3 2 2 3" xfId="4142"/>
    <cellStyle name="Normal 2 4 2 2 3 2 2 3 2" xfId="7998"/>
    <cellStyle name="Normal 2 4 2 2 3 2 2 3 3" xfId="10484"/>
    <cellStyle name="Normal 2 4 2 2 3 2 2 4" xfId="5550"/>
    <cellStyle name="Normal 2 4 2 2 3 2 2 5" xfId="9242"/>
    <cellStyle name="Normal 2 4 2 2 3 2 3" xfId="2302"/>
    <cellStyle name="Normal 2 4 2 2 3 2 3 2" xfId="6162"/>
    <cellStyle name="Normal 2 4 2 2 3 2 3 3" xfId="11078"/>
    <cellStyle name="Normal 2 4 2 2 3 2 4" xfId="3530"/>
    <cellStyle name="Normal 2 4 2 2 3 2 4 2" xfId="7386"/>
    <cellStyle name="Normal 2 4 2 2 3 2 4 3" xfId="9836"/>
    <cellStyle name="Normal 2 4 2 2 3 2 5" xfId="4938"/>
    <cellStyle name="Normal 2 4 2 2 3 2 6" xfId="8593"/>
    <cellStyle name="Normal 2 4 2 2 3 3" xfId="1382"/>
    <cellStyle name="Normal 2 4 2 2 3 3 2" xfId="2608"/>
    <cellStyle name="Normal 2 4 2 2 3 3 2 2" xfId="6468"/>
    <cellStyle name="Normal 2 4 2 2 3 3 2 3" xfId="11420"/>
    <cellStyle name="Normal 2 4 2 2 3 3 3" xfId="3836"/>
    <cellStyle name="Normal 2 4 2 2 3 3 3 2" xfId="7692"/>
    <cellStyle name="Normal 2 4 2 2 3 3 3 3" xfId="10178"/>
    <cellStyle name="Normal 2 4 2 2 3 3 4" xfId="5244"/>
    <cellStyle name="Normal 2 4 2 2 3 3 5" xfId="8936"/>
    <cellStyle name="Normal 2 4 2 2 3 4" xfId="1996"/>
    <cellStyle name="Normal 2 4 2 2 3 4 2" xfId="5856"/>
    <cellStyle name="Normal 2 4 2 2 3 4 3" xfId="10790"/>
    <cellStyle name="Normal 2 4 2 2 3 5" xfId="3223"/>
    <cellStyle name="Normal 2 4 2 2 3 5 2" xfId="7080"/>
    <cellStyle name="Normal 2 4 2 2 3 5 3" xfId="11996"/>
    <cellStyle name="Normal 2 4 2 2 3 6" xfId="4632"/>
    <cellStyle name="Normal 2 4 2 2 3 6 2" xfId="9548"/>
    <cellStyle name="Normal 2 4 2 2 3 7" xfId="8305"/>
    <cellStyle name="Normal 2 4 2 2 4" xfId="634"/>
    <cellStyle name="Normal 2 4 2 2 4 2" xfId="984"/>
    <cellStyle name="Normal 2 4 2 2 4 2 2" xfId="1598"/>
    <cellStyle name="Normal 2 4 2 2 4 2 2 2" xfId="2824"/>
    <cellStyle name="Normal 2 4 2 2 4 2 2 2 2" xfId="6684"/>
    <cellStyle name="Normal 2 4 2 2 4 2 2 2 3" xfId="11636"/>
    <cellStyle name="Normal 2 4 2 2 4 2 2 3" xfId="4052"/>
    <cellStyle name="Normal 2 4 2 2 4 2 2 3 2" xfId="7908"/>
    <cellStyle name="Normal 2 4 2 2 4 2 2 3 3" xfId="10394"/>
    <cellStyle name="Normal 2 4 2 2 4 2 2 4" xfId="5460"/>
    <cellStyle name="Normal 2 4 2 2 4 2 2 5" xfId="9152"/>
    <cellStyle name="Normal 2 4 2 2 4 2 3" xfId="2212"/>
    <cellStyle name="Normal 2 4 2 2 4 2 3 2" xfId="6072"/>
    <cellStyle name="Normal 2 4 2 2 4 2 3 3" xfId="10988"/>
    <cellStyle name="Normal 2 4 2 2 4 2 4" xfId="3440"/>
    <cellStyle name="Normal 2 4 2 2 4 2 4 2" xfId="7296"/>
    <cellStyle name="Normal 2 4 2 2 4 2 4 3" xfId="9746"/>
    <cellStyle name="Normal 2 4 2 2 4 2 5" xfId="4848"/>
    <cellStyle name="Normal 2 4 2 2 4 2 6" xfId="8503"/>
    <cellStyle name="Normal 2 4 2 2 4 3" xfId="1292"/>
    <cellStyle name="Normal 2 4 2 2 4 3 2" xfId="2518"/>
    <cellStyle name="Normal 2 4 2 2 4 3 2 2" xfId="6378"/>
    <cellStyle name="Normal 2 4 2 2 4 3 2 3" xfId="11330"/>
    <cellStyle name="Normal 2 4 2 2 4 3 3" xfId="3746"/>
    <cellStyle name="Normal 2 4 2 2 4 3 3 2" xfId="7602"/>
    <cellStyle name="Normal 2 4 2 2 4 3 3 3" xfId="10088"/>
    <cellStyle name="Normal 2 4 2 2 4 3 4" xfId="5154"/>
    <cellStyle name="Normal 2 4 2 2 4 3 5" xfId="8846"/>
    <cellStyle name="Normal 2 4 2 2 4 4" xfId="1906"/>
    <cellStyle name="Normal 2 4 2 2 4 4 2" xfId="5766"/>
    <cellStyle name="Normal 2 4 2 2 4 4 3" xfId="10700"/>
    <cellStyle name="Normal 2 4 2 2 4 5" xfId="3133"/>
    <cellStyle name="Normal 2 4 2 2 4 5 2" xfId="6990"/>
    <cellStyle name="Normal 2 4 2 2 4 5 3" xfId="11906"/>
    <cellStyle name="Normal 2 4 2 2 4 6" xfId="4542"/>
    <cellStyle name="Normal 2 4 2 2 4 6 2" xfId="9458"/>
    <cellStyle name="Normal 2 4 2 2 4 7" xfId="8215"/>
    <cellStyle name="Normal 2 4 2 2 5" xfId="540"/>
    <cellStyle name="Normal 2 4 2 2 5 2" xfId="890"/>
    <cellStyle name="Normal 2 4 2 2 5 2 2" xfId="1508"/>
    <cellStyle name="Normal 2 4 2 2 5 2 2 2" xfId="2734"/>
    <cellStyle name="Normal 2 4 2 2 5 2 2 2 2" xfId="6594"/>
    <cellStyle name="Normal 2 4 2 2 5 2 2 2 3" xfId="11546"/>
    <cellStyle name="Normal 2 4 2 2 5 2 2 3" xfId="3962"/>
    <cellStyle name="Normal 2 4 2 2 5 2 2 3 2" xfId="7818"/>
    <cellStyle name="Normal 2 4 2 2 5 2 2 3 3" xfId="10304"/>
    <cellStyle name="Normal 2 4 2 2 5 2 2 4" xfId="5370"/>
    <cellStyle name="Normal 2 4 2 2 5 2 2 5" xfId="9062"/>
    <cellStyle name="Normal 2 4 2 2 5 2 3" xfId="2122"/>
    <cellStyle name="Normal 2 4 2 2 5 2 3 2" xfId="5982"/>
    <cellStyle name="Normal 2 4 2 2 5 2 3 3" xfId="11150"/>
    <cellStyle name="Normal 2 4 2 2 5 2 4" xfId="3350"/>
    <cellStyle name="Normal 2 4 2 2 5 2 4 2" xfId="7206"/>
    <cellStyle name="Normal 2 4 2 2 5 2 4 3" xfId="9908"/>
    <cellStyle name="Normal 2 4 2 2 5 2 5" xfId="4758"/>
    <cellStyle name="Normal 2 4 2 2 5 2 6" xfId="8666"/>
    <cellStyle name="Normal 2 4 2 2 5 3" xfId="1202"/>
    <cellStyle name="Normal 2 4 2 2 5 3 2" xfId="2428"/>
    <cellStyle name="Normal 2 4 2 2 5 3 2 2" xfId="6288"/>
    <cellStyle name="Normal 2 4 2 2 5 3 2 3" xfId="11240"/>
    <cellStyle name="Normal 2 4 2 2 5 3 3" xfId="3656"/>
    <cellStyle name="Normal 2 4 2 2 5 3 3 2" xfId="7512"/>
    <cellStyle name="Normal 2 4 2 2 5 3 3 3" xfId="9998"/>
    <cellStyle name="Normal 2 4 2 2 5 3 4" xfId="5064"/>
    <cellStyle name="Normal 2 4 2 2 5 3 5" xfId="8756"/>
    <cellStyle name="Normal 2 4 2 2 5 4" xfId="1816"/>
    <cellStyle name="Normal 2 4 2 2 5 4 2" xfId="5676"/>
    <cellStyle name="Normal 2 4 2 2 5 4 2 2" xfId="11132"/>
    <cellStyle name="Normal 2 4 2 2 5 4 3" xfId="9890"/>
    <cellStyle name="Normal 2 4 2 2 5 4 4" xfId="8647"/>
    <cellStyle name="Normal 2 4 2 2 5 5" xfId="3043"/>
    <cellStyle name="Normal 2 4 2 2 5 5 2" xfId="6900"/>
    <cellStyle name="Normal 2 4 2 2 5 5 3" xfId="10610"/>
    <cellStyle name="Normal 2 4 2 2 5 6" xfId="4452"/>
    <cellStyle name="Normal 2 4 2 2 5 6 2" xfId="9368"/>
    <cellStyle name="Normal 2 4 2 2 5 7" xfId="8125"/>
    <cellStyle name="Normal 2 4 2 2 6" xfId="816"/>
    <cellStyle name="Normal 2 4 2 2 6 2" xfId="1454"/>
    <cellStyle name="Normal 2 4 2 2 6 2 2" xfId="2680"/>
    <cellStyle name="Normal 2 4 2 2 6 2 2 2" xfId="6540"/>
    <cellStyle name="Normal 2 4 2 2 6 2 2 3" xfId="11492"/>
    <cellStyle name="Normal 2 4 2 2 6 2 3" xfId="3908"/>
    <cellStyle name="Normal 2 4 2 2 6 2 3 2" xfId="7764"/>
    <cellStyle name="Normal 2 4 2 2 6 2 3 3" xfId="10250"/>
    <cellStyle name="Normal 2 4 2 2 6 2 4" xfId="5316"/>
    <cellStyle name="Normal 2 4 2 2 6 2 5" xfId="9008"/>
    <cellStyle name="Normal 2 4 2 2 6 3" xfId="2068"/>
    <cellStyle name="Normal 2 4 2 2 6 3 2" xfId="5928"/>
    <cellStyle name="Normal 2 4 2 2 6 3 3" xfId="10898"/>
    <cellStyle name="Normal 2 4 2 2 6 4" xfId="3296"/>
    <cellStyle name="Normal 2 4 2 2 6 4 2" xfId="7152"/>
    <cellStyle name="Normal 2 4 2 2 6 4 3" xfId="9656"/>
    <cellStyle name="Normal 2 4 2 2 6 5" xfId="4704"/>
    <cellStyle name="Normal 2 4 2 2 6 6" xfId="8413"/>
    <cellStyle name="Normal 2 4 2 2 7" xfId="1148"/>
    <cellStyle name="Normal 2 4 2 2 7 2" xfId="2374"/>
    <cellStyle name="Normal 2 4 2 2 7 2 2" xfId="6234"/>
    <cellStyle name="Normal 2 4 2 2 7 2 3" xfId="11186"/>
    <cellStyle name="Normal 2 4 2 2 7 3" xfId="3602"/>
    <cellStyle name="Normal 2 4 2 2 7 3 2" xfId="7458"/>
    <cellStyle name="Normal 2 4 2 2 7 3 3" xfId="9944"/>
    <cellStyle name="Normal 2 4 2 2 7 4" xfId="5010"/>
    <cellStyle name="Normal 2 4 2 2 7 5" xfId="8702"/>
    <cellStyle name="Normal 2 4 2 2 8" xfId="1762"/>
    <cellStyle name="Normal 2 4 2 2 8 2" xfId="5622"/>
    <cellStyle name="Normal 2 4 2 2 8 3" xfId="10556"/>
    <cellStyle name="Normal 2 4 2 2 9" xfId="2989"/>
    <cellStyle name="Normal 2 4 2 2 9 2" xfId="6846"/>
    <cellStyle name="Normal 2 4 2 2 9 3" xfId="11816"/>
    <cellStyle name="Normal 2 4 2 3" xfId="561"/>
    <cellStyle name="Normal 2 4 2 3 2" xfId="742"/>
    <cellStyle name="Normal 2 4 2 3 2 2" xfId="1092"/>
    <cellStyle name="Normal 2 4 2 3 2 2 2" xfId="1706"/>
    <cellStyle name="Normal 2 4 2 3 2 2 2 2" xfId="2932"/>
    <cellStyle name="Normal 2 4 2 3 2 2 2 2 2" xfId="6792"/>
    <cellStyle name="Normal 2 4 2 3 2 2 2 2 3" xfId="11744"/>
    <cellStyle name="Normal 2 4 2 3 2 2 2 3" xfId="4160"/>
    <cellStyle name="Normal 2 4 2 3 2 2 2 3 2" xfId="8016"/>
    <cellStyle name="Normal 2 4 2 3 2 2 2 3 3" xfId="10502"/>
    <cellStyle name="Normal 2 4 2 3 2 2 2 4" xfId="5568"/>
    <cellStyle name="Normal 2 4 2 3 2 2 2 5" xfId="9260"/>
    <cellStyle name="Normal 2 4 2 3 2 2 3" xfId="2320"/>
    <cellStyle name="Normal 2 4 2 3 2 2 3 2" xfId="6180"/>
    <cellStyle name="Normal 2 4 2 3 2 2 3 3" xfId="11096"/>
    <cellStyle name="Normal 2 4 2 3 2 2 4" xfId="3548"/>
    <cellStyle name="Normal 2 4 2 3 2 2 4 2" xfId="7404"/>
    <cellStyle name="Normal 2 4 2 3 2 2 4 3" xfId="9854"/>
    <cellStyle name="Normal 2 4 2 3 2 2 5" xfId="4956"/>
    <cellStyle name="Normal 2 4 2 3 2 2 6" xfId="8611"/>
    <cellStyle name="Normal 2 4 2 3 2 3" xfId="1400"/>
    <cellStyle name="Normal 2 4 2 3 2 3 2" xfId="2626"/>
    <cellStyle name="Normal 2 4 2 3 2 3 2 2" xfId="6486"/>
    <cellStyle name="Normal 2 4 2 3 2 3 2 3" xfId="11438"/>
    <cellStyle name="Normal 2 4 2 3 2 3 3" xfId="3854"/>
    <cellStyle name="Normal 2 4 2 3 2 3 3 2" xfId="7710"/>
    <cellStyle name="Normal 2 4 2 3 2 3 3 3" xfId="10196"/>
    <cellStyle name="Normal 2 4 2 3 2 3 4" xfId="5262"/>
    <cellStyle name="Normal 2 4 2 3 2 3 5" xfId="8954"/>
    <cellStyle name="Normal 2 4 2 3 2 4" xfId="2014"/>
    <cellStyle name="Normal 2 4 2 3 2 4 2" xfId="5874"/>
    <cellStyle name="Normal 2 4 2 3 2 4 3" xfId="10808"/>
    <cellStyle name="Normal 2 4 2 3 2 5" xfId="3241"/>
    <cellStyle name="Normal 2 4 2 3 2 5 2" xfId="7098"/>
    <cellStyle name="Normal 2 4 2 3 2 5 3" xfId="12014"/>
    <cellStyle name="Normal 2 4 2 3 2 6" xfId="4650"/>
    <cellStyle name="Normal 2 4 2 3 2 6 2" xfId="9566"/>
    <cellStyle name="Normal 2 4 2 3 2 7" xfId="8323"/>
    <cellStyle name="Normal 2 4 2 3 3" xfId="652"/>
    <cellStyle name="Normal 2 4 2 3 3 2" xfId="1002"/>
    <cellStyle name="Normal 2 4 2 3 3 2 2" xfId="1616"/>
    <cellStyle name="Normal 2 4 2 3 3 2 2 2" xfId="2842"/>
    <cellStyle name="Normal 2 4 2 3 3 2 2 2 2" xfId="6702"/>
    <cellStyle name="Normal 2 4 2 3 3 2 2 2 3" xfId="11654"/>
    <cellStyle name="Normal 2 4 2 3 3 2 2 3" xfId="4070"/>
    <cellStyle name="Normal 2 4 2 3 3 2 2 3 2" xfId="7926"/>
    <cellStyle name="Normal 2 4 2 3 3 2 2 3 3" xfId="10412"/>
    <cellStyle name="Normal 2 4 2 3 3 2 2 4" xfId="5478"/>
    <cellStyle name="Normal 2 4 2 3 3 2 2 5" xfId="9170"/>
    <cellStyle name="Normal 2 4 2 3 3 2 3" xfId="2230"/>
    <cellStyle name="Normal 2 4 2 3 3 2 3 2" xfId="6090"/>
    <cellStyle name="Normal 2 4 2 3 3 2 3 3" xfId="11006"/>
    <cellStyle name="Normal 2 4 2 3 3 2 4" xfId="3458"/>
    <cellStyle name="Normal 2 4 2 3 3 2 4 2" xfId="7314"/>
    <cellStyle name="Normal 2 4 2 3 3 2 4 3" xfId="9764"/>
    <cellStyle name="Normal 2 4 2 3 3 2 5" xfId="4866"/>
    <cellStyle name="Normal 2 4 2 3 3 2 6" xfId="8521"/>
    <cellStyle name="Normal 2 4 2 3 3 3" xfId="1310"/>
    <cellStyle name="Normal 2 4 2 3 3 3 2" xfId="2536"/>
    <cellStyle name="Normal 2 4 2 3 3 3 2 2" xfId="6396"/>
    <cellStyle name="Normal 2 4 2 3 3 3 2 3" xfId="11348"/>
    <cellStyle name="Normal 2 4 2 3 3 3 3" xfId="3764"/>
    <cellStyle name="Normal 2 4 2 3 3 3 3 2" xfId="7620"/>
    <cellStyle name="Normal 2 4 2 3 3 3 3 3" xfId="10106"/>
    <cellStyle name="Normal 2 4 2 3 3 3 4" xfId="5172"/>
    <cellStyle name="Normal 2 4 2 3 3 3 5" xfId="8864"/>
    <cellStyle name="Normal 2 4 2 3 3 4" xfId="1924"/>
    <cellStyle name="Normal 2 4 2 3 3 4 2" xfId="5784"/>
    <cellStyle name="Normal 2 4 2 3 3 4 3" xfId="10718"/>
    <cellStyle name="Normal 2 4 2 3 3 5" xfId="3151"/>
    <cellStyle name="Normal 2 4 2 3 3 5 2" xfId="7008"/>
    <cellStyle name="Normal 2 4 2 3 3 5 3" xfId="11924"/>
    <cellStyle name="Normal 2 4 2 3 3 6" xfId="4560"/>
    <cellStyle name="Normal 2 4 2 3 3 6 2" xfId="9476"/>
    <cellStyle name="Normal 2 4 2 3 3 7" xfId="8233"/>
    <cellStyle name="Normal 2 4 2 3 4" xfId="911"/>
    <cellStyle name="Normal 2 4 2 3 4 2" xfId="1526"/>
    <cellStyle name="Normal 2 4 2 3 4 2 2" xfId="2752"/>
    <cellStyle name="Normal 2 4 2 3 4 2 2 2" xfId="6612"/>
    <cellStyle name="Normal 2 4 2 3 4 2 2 3" xfId="11564"/>
    <cellStyle name="Normal 2 4 2 3 4 2 3" xfId="3980"/>
    <cellStyle name="Normal 2 4 2 3 4 2 3 2" xfId="7836"/>
    <cellStyle name="Normal 2 4 2 3 4 2 3 3" xfId="10322"/>
    <cellStyle name="Normal 2 4 2 3 4 2 4" xfId="5388"/>
    <cellStyle name="Normal 2 4 2 3 4 2 5" xfId="9080"/>
    <cellStyle name="Normal 2 4 2 3 4 3" xfId="2140"/>
    <cellStyle name="Normal 2 4 2 3 4 3 2" xfId="6000"/>
    <cellStyle name="Normal 2 4 2 3 4 3 3" xfId="10916"/>
    <cellStyle name="Normal 2 4 2 3 4 4" xfId="3368"/>
    <cellStyle name="Normal 2 4 2 3 4 4 2" xfId="7224"/>
    <cellStyle name="Normal 2 4 2 3 4 4 3" xfId="9674"/>
    <cellStyle name="Normal 2 4 2 3 4 5" xfId="4776"/>
    <cellStyle name="Normal 2 4 2 3 4 6" xfId="8431"/>
    <cellStyle name="Normal 2 4 2 3 5" xfId="1220"/>
    <cellStyle name="Normal 2 4 2 3 5 2" xfId="2446"/>
    <cellStyle name="Normal 2 4 2 3 5 2 2" xfId="6306"/>
    <cellStyle name="Normal 2 4 2 3 5 2 3" xfId="11258"/>
    <cellStyle name="Normal 2 4 2 3 5 3" xfId="3674"/>
    <cellStyle name="Normal 2 4 2 3 5 3 2" xfId="7530"/>
    <cellStyle name="Normal 2 4 2 3 5 3 3" xfId="10016"/>
    <cellStyle name="Normal 2 4 2 3 5 4" xfId="5082"/>
    <cellStyle name="Normal 2 4 2 3 5 5" xfId="8774"/>
    <cellStyle name="Normal 2 4 2 3 6" xfId="1834"/>
    <cellStyle name="Normal 2 4 2 3 6 2" xfId="5694"/>
    <cellStyle name="Normal 2 4 2 3 6 3" xfId="10628"/>
    <cellStyle name="Normal 2 4 2 3 7" xfId="3061"/>
    <cellStyle name="Normal 2 4 2 3 7 2" xfId="6918"/>
    <cellStyle name="Normal 2 4 2 3 7 3" xfId="11834"/>
    <cellStyle name="Normal 2 4 2 3 8" xfId="4470"/>
    <cellStyle name="Normal 2 4 2 3 8 2" xfId="9386"/>
    <cellStyle name="Normal 2 4 2 3 9" xfId="8143"/>
    <cellStyle name="Normal 2 4 2 4" xfId="504"/>
    <cellStyle name="Normal 2 4 2 4 2" xfId="706"/>
    <cellStyle name="Normal 2 4 2 4 2 2" xfId="1056"/>
    <cellStyle name="Normal 2 4 2 4 2 2 2" xfId="1670"/>
    <cellStyle name="Normal 2 4 2 4 2 2 2 2" xfId="2896"/>
    <cellStyle name="Normal 2 4 2 4 2 2 2 2 2" xfId="6756"/>
    <cellStyle name="Normal 2 4 2 4 2 2 2 2 3" xfId="11708"/>
    <cellStyle name="Normal 2 4 2 4 2 2 2 3" xfId="4124"/>
    <cellStyle name="Normal 2 4 2 4 2 2 2 3 2" xfId="7980"/>
    <cellStyle name="Normal 2 4 2 4 2 2 2 3 3" xfId="10466"/>
    <cellStyle name="Normal 2 4 2 4 2 2 2 4" xfId="5532"/>
    <cellStyle name="Normal 2 4 2 4 2 2 2 5" xfId="9224"/>
    <cellStyle name="Normal 2 4 2 4 2 2 3" xfId="2284"/>
    <cellStyle name="Normal 2 4 2 4 2 2 3 2" xfId="6144"/>
    <cellStyle name="Normal 2 4 2 4 2 2 3 3" xfId="11060"/>
    <cellStyle name="Normal 2 4 2 4 2 2 4" xfId="3512"/>
    <cellStyle name="Normal 2 4 2 4 2 2 4 2" xfId="7368"/>
    <cellStyle name="Normal 2 4 2 4 2 2 4 3" xfId="9818"/>
    <cellStyle name="Normal 2 4 2 4 2 2 5" xfId="4920"/>
    <cellStyle name="Normal 2 4 2 4 2 2 6" xfId="8575"/>
    <cellStyle name="Normal 2 4 2 4 2 3" xfId="1364"/>
    <cellStyle name="Normal 2 4 2 4 2 3 2" xfId="2590"/>
    <cellStyle name="Normal 2 4 2 4 2 3 2 2" xfId="6450"/>
    <cellStyle name="Normal 2 4 2 4 2 3 2 3" xfId="11402"/>
    <cellStyle name="Normal 2 4 2 4 2 3 3" xfId="3818"/>
    <cellStyle name="Normal 2 4 2 4 2 3 3 2" xfId="7674"/>
    <cellStyle name="Normal 2 4 2 4 2 3 3 3" xfId="10160"/>
    <cellStyle name="Normal 2 4 2 4 2 3 4" xfId="5226"/>
    <cellStyle name="Normal 2 4 2 4 2 3 5" xfId="8918"/>
    <cellStyle name="Normal 2 4 2 4 2 4" xfId="1978"/>
    <cellStyle name="Normal 2 4 2 4 2 4 2" xfId="5838"/>
    <cellStyle name="Normal 2 4 2 4 2 4 3" xfId="10772"/>
    <cellStyle name="Normal 2 4 2 4 2 5" xfId="3205"/>
    <cellStyle name="Normal 2 4 2 4 2 5 2" xfId="7062"/>
    <cellStyle name="Normal 2 4 2 4 2 5 3" xfId="11978"/>
    <cellStyle name="Normal 2 4 2 4 2 6" xfId="4614"/>
    <cellStyle name="Normal 2 4 2 4 2 6 2" xfId="9530"/>
    <cellStyle name="Normal 2 4 2 4 2 7" xfId="8287"/>
    <cellStyle name="Normal 2 4 2 4 3" xfId="616"/>
    <cellStyle name="Normal 2 4 2 4 3 2" xfId="966"/>
    <cellStyle name="Normal 2 4 2 4 3 2 2" xfId="1580"/>
    <cellStyle name="Normal 2 4 2 4 3 2 2 2" xfId="2806"/>
    <cellStyle name="Normal 2 4 2 4 3 2 2 2 2" xfId="6666"/>
    <cellStyle name="Normal 2 4 2 4 3 2 2 2 3" xfId="11618"/>
    <cellStyle name="Normal 2 4 2 4 3 2 2 3" xfId="4034"/>
    <cellStyle name="Normal 2 4 2 4 3 2 2 3 2" xfId="7890"/>
    <cellStyle name="Normal 2 4 2 4 3 2 2 3 3" xfId="10376"/>
    <cellStyle name="Normal 2 4 2 4 3 2 2 4" xfId="5442"/>
    <cellStyle name="Normal 2 4 2 4 3 2 2 5" xfId="9134"/>
    <cellStyle name="Normal 2 4 2 4 3 2 3" xfId="2194"/>
    <cellStyle name="Normal 2 4 2 4 3 2 3 2" xfId="6054"/>
    <cellStyle name="Normal 2 4 2 4 3 2 3 3" xfId="10970"/>
    <cellStyle name="Normal 2 4 2 4 3 2 4" xfId="3422"/>
    <cellStyle name="Normal 2 4 2 4 3 2 4 2" xfId="7278"/>
    <cellStyle name="Normal 2 4 2 4 3 2 4 3" xfId="9728"/>
    <cellStyle name="Normal 2 4 2 4 3 2 5" xfId="4830"/>
    <cellStyle name="Normal 2 4 2 4 3 2 6" xfId="8485"/>
    <cellStyle name="Normal 2 4 2 4 3 3" xfId="1274"/>
    <cellStyle name="Normal 2 4 2 4 3 3 2" xfId="2500"/>
    <cellStyle name="Normal 2 4 2 4 3 3 2 2" xfId="6360"/>
    <cellStyle name="Normal 2 4 2 4 3 3 2 3" xfId="11312"/>
    <cellStyle name="Normal 2 4 2 4 3 3 3" xfId="3728"/>
    <cellStyle name="Normal 2 4 2 4 3 3 3 2" xfId="7584"/>
    <cellStyle name="Normal 2 4 2 4 3 3 3 3" xfId="10070"/>
    <cellStyle name="Normal 2 4 2 4 3 3 4" xfId="5136"/>
    <cellStyle name="Normal 2 4 2 4 3 3 5" xfId="8828"/>
    <cellStyle name="Normal 2 4 2 4 3 4" xfId="1888"/>
    <cellStyle name="Normal 2 4 2 4 3 4 2" xfId="5748"/>
    <cellStyle name="Normal 2 4 2 4 3 4 3" xfId="10682"/>
    <cellStyle name="Normal 2 4 2 4 3 5" xfId="3115"/>
    <cellStyle name="Normal 2 4 2 4 3 5 2" xfId="6972"/>
    <cellStyle name="Normal 2 4 2 4 3 5 3" xfId="11888"/>
    <cellStyle name="Normal 2 4 2 4 3 6" xfId="4524"/>
    <cellStyle name="Normal 2 4 2 4 3 6 2" xfId="9440"/>
    <cellStyle name="Normal 2 4 2 4 3 7" xfId="8197"/>
    <cellStyle name="Normal 2 4 2 4 4" xfId="854"/>
    <cellStyle name="Normal 2 4 2 4 4 2" xfId="1490"/>
    <cellStyle name="Normal 2 4 2 4 4 2 2" xfId="2716"/>
    <cellStyle name="Normal 2 4 2 4 4 2 2 2" xfId="6576"/>
    <cellStyle name="Normal 2 4 2 4 4 2 2 3" xfId="11528"/>
    <cellStyle name="Normal 2 4 2 4 4 2 3" xfId="3944"/>
    <cellStyle name="Normal 2 4 2 4 4 2 3 2" xfId="7800"/>
    <cellStyle name="Normal 2 4 2 4 4 2 3 3" xfId="10286"/>
    <cellStyle name="Normal 2 4 2 4 4 2 4" xfId="5352"/>
    <cellStyle name="Normal 2 4 2 4 4 2 5" xfId="9044"/>
    <cellStyle name="Normal 2 4 2 4 4 3" xfId="2104"/>
    <cellStyle name="Normal 2 4 2 4 4 3 2" xfId="5964"/>
    <cellStyle name="Normal 2 4 2 4 4 3 3" xfId="10880"/>
    <cellStyle name="Normal 2 4 2 4 4 4" xfId="3332"/>
    <cellStyle name="Normal 2 4 2 4 4 4 2" xfId="7188"/>
    <cellStyle name="Normal 2 4 2 4 4 4 3" xfId="9638"/>
    <cellStyle name="Normal 2 4 2 4 4 5" xfId="4740"/>
    <cellStyle name="Normal 2 4 2 4 4 6" xfId="8395"/>
    <cellStyle name="Normal 2 4 2 4 5" xfId="1184"/>
    <cellStyle name="Normal 2 4 2 4 5 2" xfId="2410"/>
    <cellStyle name="Normal 2 4 2 4 5 2 2" xfId="6270"/>
    <cellStyle name="Normal 2 4 2 4 5 2 3" xfId="11222"/>
    <cellStyle name="Normal 2 4 2 4 5 3" xfId="3638"/>
    <cellStyle name="Normal 2 4 2 4 5 3 2" xfId="7494"/>
    <cellStyle name="Normal 2 4 2 4 5 3 3" xfId="9980"/>
    <cellStyle name="Normal 2 4 2 4 5 4" xfId="5046"/>
    <cellStyle name="Normal 2 4 2 4 5 5" xfId="8738"/>
    <cellStyle name="Normal 2 4 2 4 6" xfId="1798"/>
    <cellStyle name="Normal 2 4 2 4 6 2" xfId="5658"/>
    <cellStyle name="Normal 2 4 2 4 6 3" xfId="10592"/>
    <cellStyle name="Normal 2 4 2 4 7" xfId="3025"/>
    <cellStyle name="Normal 2 4 2 4 7 2" xfId="6882"/>
    <cellStyle name="Normal 2 4 2 4 7 3" xfId="11798"/>
    <cellStyle name="Normal 2 4 2 4 8" xfId="4434"/>
    <cellStyle name="Normal 2 4 2 4 8 2" xfId="9350"/>
    <cellStyle name="Normal 2 4 2 4 9" xfId="8107"/>
    <cellStyle name="Normal 2 4 2 5" xfId="688"/>
    <cellStyle name="Normal 2 4 2 5 2" xfId="1038"/>
    <cellStyle name="Normal 2 4 2 5 2 2" xfId="1652"/>
    <cellStyle name="Normal 2 4 2 5 2 2 2" xfId="2878"/>
    <cellStyle name="Normal 2 4 2 5 2 2 2 2" xfId="6738"/>
    <cellStyle name="Normal 2 4 2 5 2 2 2 3" xfId="11690"/>
    <cellStyle name="Normal 2 4 2 5 2 2 3" xfId="4106"/>
    <cellStyle name="Normal 2 4 2 5 2 2 3 2" xfId="7962"/>
    <cellStyle name="Normal 2 4 2 5 2 2 3 3" xfId="10448"/>
    <cellStyle name="Normal 2 4 2 5 2 2 4" xfId="5514"/>
    <cellStyle name="Normal 2 4 2 5 2 2 5" xfId="9206"/>
    <cellStyle name="Normal 2 4 2 5 2 3" xfId="2266"/>
    <cellStyle name="Normal 2 4 2 5 2 3 2" xfId="6126"/>
    <cellStyle name="Normal 2 4 2 5 2 3 3" xfId="11042"/>
    <cellStyle name="Normal 2 4 2 5 2 4" xfId="3494"/>
    <cellStyle name="Normal 2 4 2 5 2 4 2" xfId="7350"/>
    <cellStyle name="Normal 2 4 2 5 2 4 3" xfId="9800"/>
    <cellStyle name="Normal 2 4 2 5 2 5" xfId="4902"/>
    <cellStyle name="Normal 2 4 2 5 2 6" xfId="8557"/>
    <cellStyle name="Normal 2 4 2 5 3" xfId="1346"/>
    <cellStyle name="Normal 2 4 2 5 3 2" xfId="2572"/>
    <cellStyle name="Normal 2 4 2 5 3 2 2" xfId="6432"/>
    <cellStyle name="Normal 2 4 2 5 3 2 3" xfId="11384"/>
    <cellStyle name="Normal 2 4 2 5 3 3" xfId="3800"/>
    <cellStyle name="Normal 2 4 2 5 3 3 2" xfId="7656"/>
    <cellStyle name="Normal 2 4 2 5 3 3 3" xfId="10142"/>
    <cellStyle name="Normal 2 4 2 5 3 4" xfId="5208"/>
    <cellStyle name="Normal 2 4 2 5 3 5" xfId="8900"/>
    <cellStyle name="Normal 2 4 2 5 4" xfId="1960"/>
    <cellStyle name="Normal 2 4 2 5 4 2" xfId="5820"/>
    <cellStyle name="Normal 2 4 2 5 4 3" xfId="10754"/>
    <cellStyle name="Normal 2 4 2 5 5" xfId="3187"/>
    <cellStyle name="Normal 2 4 2 5 5 2" xfId="7044"/>
    <cellStyle name="Normal 2 4 2 5 5 3" xfId="11960"/>
    <cellStyle name="Normal 2 4 2 5 6" xfId="4596"/>
    <cellStyle name="Normal 2 4 2 5 6 2" xfId="9512"/>
    <cellStyle name="Normal 2 4 2 5 7" xfId="8269"/>
    <cellStyle name="Normal 2 4 2 6" xfId="598"/>
    <cellStyle name="Normal 2 4 2 6 2" xfId="948"/>
    <cellStyle name="Normal 2 4 2 6 2 2" xfId="1562"/>
    <cellStyle name="Normal 2 4 2 6 2 2 2" xfId="2788"/>
    <cellStyle name="Normal 2 4 2 6 2 2 2 2" xfId="6648"/>
    <cellStyle name="Normal 2 4 2 6 2 2 2 3" xfId="11600"/>
    <cellStyle name="Normal 2 4 2 6 2 2 3" xfId="4016"/>
    <cellStyle name="Normal 2 4 2 6 2 2 3 2" xfId="7872"/>
    <cellStyle name="Normal 2 4 2 6 2 2 3 3" xfId="10358"/>
    <cellStyle name="Normal 2 4 2 6 2 2 4" xfId="5424"/>
    <cellStyle name="Normal 2 4 2 6 2 2 5" xfId="9116"/>
    <cellStyle name="Normal 2 4 2 6 2 3" xfId="2176"/>
    <cellStyle name="Normal 2 4 2 6 2 3 2" xfId="6036"/>
    <cellStyle name="Normal 2 4 2 6 2 3 3" xfId="10952"/>
    <cellStyle name="Normal 2 4 2 6 2 4" xfId="3404"/>
    <cellStyle name="Normal 2 4 2 6 2 4 2" xfId="7260"/>
    <cellStyle name="Normal 2 4 2 6 2 4 3" xfId="9710"/>
    <cellStyle name="Normal 2 4 2 6 2 5" xfId="4812"/>
    <cellStyle name="Normal 2 4 2 6 2 6" xfId="8467"/>
    <cellStyle name="Normal 2 4 2 6 3" xfId="1256"/>
    <cellStyle name="Normal 2 4 2 6 3 2" xfId="2482"/>
    <cellStyle name="Normal 2 4 2 6 3 2 2" xfId="6342"/>
    <cellStyle name="Normal 2 4 2 6 3 2 3" xfId="11294"/>
    <cellStyle name="Normal 2 4 2 6 3 3" xfId="3710"/>
    <cellStyle name="Normal 2 4 2 6 3 3 2" xfId="7566"/>
    <cellStyle name="Normal 2 4 2 6 3 3 3" xfId="10052"/>
    <cellStyle name="Normal 2 4 2 6 3 4" xfId="5118"/>
    <cellStyle name="Normal 2 4 2 6 3 5" xfId="8810"/>
    <cellStyle name="Normal 2 4 2 6 4" xfId="1870"/>
    <cellStyle name="Normal 2 4 2 6 4 2" xfId="5730"/>
    <cellStyle name="Normal 2 4 2 6 4 3" xfId="10664"/>
    <cellStyle name="Normal 2 4 2 6 5" xfId="3097"/>
    <cellStyle name="Normal 2 4 2 6 5 2" xfId="6954"/>
    <cellStyle name="Normal 2 4 2 6 5 3" xfId="11870"/>
    <cellStyle name="Normal 2 4 2 6 6" xfId="4506"/>
    <cellStyle name="Normal 2 4 2 6 6 2" xfId="9422"/>
    <cellStyle name="Normal 2 4 2 6 7" xfId="8179"/>
    <cellStyle name="Normal 2 4 2 7" xfId="484"/>
    <cellStyle name="Normal 2 4 2 7 2" xfId="834"/>
    <cellStyle name="Normal 2 4 2 7 2 2" xfId="1472"/>
    <cellStyle name="Normal 2 4 2 7 2 2 2" xfId="2698"/>
    <cellStyle name="Normal 2 4 2 7 2 2 2 2" xfId="6558"/>
    <cellStyle name="Normal 2 4 2 7 2 2 2 3" xfId="11510"/>
    <cellStyle name="Normal 2 4 2 7 2 2 3" xfId="3926"/>
    <cellStyle name="Normal 2 4 2 7 2 2 3 2" xfId="7782"/>
    <cellStyle name="Normal 2 4 2 7 2 2 3 3" xfId="10268"/>
    <cellStyle name="Normal 2 4 2 7 2 2 4" xfId="5334"/>
    <cellStyle name="Normal 2 4 2 7 2 2 5" xfId="9026"/>
    <cellStyle name="Normal 2 4 2 7 2 3" xfId="2086"/>
    <cellStyle name="Normal 2 4 2 7 2 3 2" xfId="5946"/>
    <cellStyle name="Normal 2 4 2 7 2 3 3" xfId="10862"/>
    <cellStyle name="Normal 2 4 2 7 2 4" xfId="3314"/>
    <cellStyle name="Normal 2 4 2 7 2 4 2" xfId="7170"/>
    <cellStyle name="Normal 2 4 2 7 2 4 3" xfId="9620"/>
    <cellStyle name="Normal 2 4 2 7 2 5" xfId="4722"/>
    <cellStyle name="Normal 2 4 2 7 2 6" xfId="8377"/>
    <cellStyle name="Normal 2 4 2 7 3" xfId="1166"/>
    <cellStyle name="Normal 2 4 2 7 3 2" xfId="2392"/>
    <cellStyle name="Normal 2 4 2 7 3 2 2" xfId="6252"/>
    <cellStyle name="Normal 2 4 2 7 3 2 3" xfId="11204"/>
    <cellStyle name="Normal 2 4 2 7 3 3" xfId="3620"/>
    <cellStyle name="Normal 2 4 2 7 3 3 2" xfId="7476"/>
    <cellStyle name="Normal 2 4 2 7 3 3 3" xfId="9962"/>
    <cellStyle name="Normal 2 4 2 7 3 4" xfId="5028"/>
    <cellStyle name="Normal 2 4 2 7 3 5" xfId="8720"/>
    <cellStyle name="Normal 2 4 2 7 4" xfId="1780"/>
    <cellStyle name="Normal 2 4 2 7 4 2" xfId="5640"/>
    <cellStyle name="Normal 2 4 2 7 4 3" xfId="10574"/>
    <cellStyle name="Normal 2 4 2 7 5" xfId="3007"/>
    <cellStyle name="Normal 2 4 2 7 5 2" xfId="6864"/>
    <cellStyle name="Normal 2 4 2 7 5 3" xfId="12050"/>
    <cellStyle name="Normal 2 4 2 7 6" xfId="4416"/>
    <cellStyle name="Normal 2 4 2 7 6 2" xfId="9332"/>
    <cellStyle name="Normal 2 4 2 7 7" xfId="8089"/>
    <cellStyle name="Normal 2 4 2 8" xfId="796"/>
    <cellStyle name="Normal 2 4 2 8 2" xfId="1436"/>
    <cellStyle name="Normal 2 4 2 8 2 2" xfId="2662"/>
    <cellStyle name="Normal 2 4 2 8 2 2 2" xfId="6522"/>
    <cellStyle name="Normal 2 4 2 8 2 2 3" xfId="11474"/>
    <cellStyle name="Normal 2 4 2 8 2 3" xfId="3890"/>
    <cellStyle name="Normal 2 4 2 8 2 3 2" xfId="7746"/>
    <cellStyle name="Normal 2 4 2 8 2 3 3" xfId="10232"/>
    <cellStyle name="Normal 2 4 2 8 2 4" xfId="5298"/>
    <cellStyle name="Normal 2 4 2 8 2 5" xfId="8990"/>
    <cellStyle name="Normal 2 4 2 8 3" xfId="2050"/>
    <cellStyle name="Normal 2 4 2 8 3 2" xfId="5910"/>
    <cellStyle name="Normal 2 4 2 8 3 3" xfId="10844"/>
    <cellStyle name="Normal 2 4 2 8 4" xfId="3278"/>
    <cellStyle name="Normal 2 4 2 8 4 2" xfId="7134"/>
    <cellStyle name="Normal 2 4 2 8 4 3" xfId="9602"/>
    <cellStyle name="Normal 2 4 2 8 5" xfId="4686"/>
    <cellStyle name="Normal 2 4 2 8 6" xfId="8359"/>
    <cellStyle name="Normal 2 4 2 9" xfId="1130"/>
    <cellStyle name="Normal 2 4 2 9 2" xfId="2356"/>
    <cellStyle name="Normal 2 4 2 9 2 2" xfId="6216"/>
    <cellStyle name="Normal 2 4 2 9 2 3" xfId="11168"/>
    <cellStyle name="Normal 2 4 2 9 3" xfId="3584"/>
    <cellStyle name="Normal 2 4 2 9 3 2" xfId="7440"/>
    <cellStyle name="Normal 2 4 2 9 3 3" xfId="9926"/>
    <cellStyle name="Normal 2 4 2 9 4" xfId="4992"/>
    <cellStyle name="Normal 2 4 2 9 5" xfId="8684"/>
    <cellStyle name="Normal 2 4 3" xfId="465"/>
    <cellStyle name="Normal 2 4 3 10" xfId="4397"/>
    <cellStyle name="Normal 2 4 3 10 2" xfId="9313"/>
    <cellStyle name="Normal 2 4 3 11" xfId="8070"/>
    <cellStyle name="Normal 2 4 3 2" xfId="578"/>
    <cellStyle name="Normal 2 4 3 2 2" xfId="759"/>
    <cellStyle name="Normal 2 4 3 2 2 2" xfId="1109"/>
    <cellStyle name="Normal 2 4 3 2 2 2 2" xfId="1723"/>
    <cellStyle name="Normal 2 4 3 2 2 2 2 2" xfId="2949"/>
    <cellStyle name="Normal 2 4 3 2 2 2 2 2 2" xfId="6809"/>
    <cellStyle name="Normal 2 4 3 2 2 2 2 2 3" xfId="11761"/>
    <cellStyle name="Normal 2 4 3 2 2 2 2 3" xfId="4177"/>
    <cellStyle name="Normal 2 4 3 2 2 2 2 3 2" xfId="8033"/>
    <cellStyle name="Normal 2 4 3 2 2 2 2 3 3" xfId="10519"/>
    <cellStyle name="Normal 2 4 3 2 2 2 2 4" xfId="5585"/>
    <cellStyle name="Normal 2 4 3 2 2 2 2 5" xfId="9277"/>
    <cellStyle name="Normal 2 4 3 2 2 2 3" xfId="2337"/>
    <cellStyle name="Normal 2 4 3 2 2 2 3 2" xfId="6197"/>
    <cellStyle name="Normal 2 4 3 2 2 2 3 3" xfId="11113"/>
    <cellStyle name="Normal 2 4 3 2 2 2 4" xfId="3565"/>
    <cellStyle name="Normal 2 4 3 2 2 2 4 2" xfId="7421"/>
    <cellStyle name="Normal 2 4 3 2 2 2 4 3" xfId="9871"/>
    <cellStyle name="Normal 2 4 3 2 2 2 5" xfId="4973"/>
    <cellStyle name="Normal 2 4 3 2 2 2 6" xfId="8628"/>
    <cellStyle name="Normal 2 4 3 2 2 3" xfId="1417"/>
    <cellStyle name="Normal 2 4 3 2 2 3 2" xfId="2643"/>
    <cellStyle name="Normal 2 4 3 2 2 3 2 2" xfId="6503"/>
    <cellStyle name="Normal 2 4 3 2 2 3 2 3" xfId="11455"/>
    <cellStyle name="Normal 2 4 3 2 2 3 3" xfId="3871"/>
    <cellStyle name="Normal 2 4 3 2 2 3 3 2" xfId="7727"/>
    <cellStyle name="Normal 2 4 3 2 2 3 3 3" xfId="10213"/>
    <cellStyle name="Normal 2 4 3 2 2 3 4" xfId="5279"/>
    <cellStyle name="Normal 2 4 3 2 2 3 5" xfId="8971"/>
    <cellStyle name="Normal 2 4 3 2 2 4" xfId="2031"/>
    <cellStyle name="Normal 2 4 3 2 2 4 2" xfId="5891"/>
    <cellStyle name="Normal 2 4 3 2 2 4 3" xfId="10825"/>
    <cellStyle name="Normal 2 4 3 2 2 5" xfId="3258"/>
    <cellStyle name="Normal 2 4 3 2 2 5 2" xfId="7115"/>
    <cellStyle name="Normal 2 4 3 2 2 5 3" xfId="12031"/>
    <cellStyle name="Normal 2 4 3 2 2 6" xfId="4667"/>
    <cellStyle name="Normal 2 4 3 2 2 6 2" xfId="9583"/>
    <cellStyle name="Normal 2 4 3 2 2 7" xfId="8340"/>
    <cellStyle name="Normal 2 4 3 2 3" xfId="669"/>
    <cellStyle name="Normal 2 4 3 2 3 2" xfId="1019"/>
    <cellStyle name="Normal 2 4 3 2 3 2 2" xfId="1633"/>
    <cellStyle name="Normal 2 4 3 2 3 2 2 2" xfId="2859"/>
    <cellStyle name="Normal 2 4 3 2 3 2 2 2 2" xfId="6719"/>
    <cellStyle name="Normal 2 4 3 2 3 2 2 2 3" xfId="11671"/>
    <cellStyle name="Normal 2 4 3 2 3 2 2 3" xfId="4087"/>
    <cellStyle name="Normal 2 4 3 2 3 2 2 3 2" xfId="7943"/>
    <cellStyle name="Normal 2 4 3 2 3 2 2 3 3" xfId="10429"/>
    <cellStyle name="Normal 2 4 3 2 3 2 2 4" xfId="5495"/>
    <cellStyle name="Normal 2 4 3 2 3 2 2 5" xfId="9187"/>
    <cellStyle name="Normal 2 4 3 2 3 2 3" xfId="2247"/>
    <cellStyle name="Normal 2 4 3 2 3 2 3 2" xfId="6107"/>
    <cellStyle name="Normal 2 4 3 2 3 2 3 3" xfId="11023"/>
    <cellStyle name="Normal 2 4 3 2 3 2 4" xfId="3475"/>
    <cellStyle name="Normal 2 4 3 2 3 2 4 2" xfId="7331"/>
    <cellStyle name="Normal 2 4 3 2 3 2 4 3" xfId="9781"/>
    <cellStyle name="Normal 2 4 3 2 3 2 5" xfId="4883"/>
    <cellStyle name="Normal 2 4 3 2 3 2 6" xfId="8538"/>
    <cellStyle name="Normal 2 4 3 2 3 3" xfId="1327"/>
    <cellStyle name="Normal 2 4 3 2 3 3 2" xfId="2553"/>
    <cellStyle name="Normal 2 4 3 2 3 3 2 2" xfId="6413"/>
    <cellStyle name="Normal 2 4 3 2 3 3 2 3" xfId="11365"/>
    <cellStyle name="Normal 2 4 3 2 3 3 3" xfId="3781"/>
    <cellStyle name="Normal 2 4 3 2 3 3 3 2" xfId="7637"/>
    <cellStyle name="Normal 2 4 3 2 3 3 3 3" xfId="10123"/>
    <cellStyle name="Normal 2 4 3 2 3 3 4" xfId="5189"/>
    <cellStyle name="Normal 2 4 3 2 3 3 5" xfId="8881"/>
    <cellStyle name="Normal 2 4 3 2 3 4" xfId="1941"/>
    <cellStyle name="Normal 2 4 3 2 3 4 2" xfId="5801"/>
    <cellStyle name="Normal 2 4 3 2 3 4 3" xfId="10735"/>
    <cellStyle name="Normal 2 4 3 2 3 5" xfId="3168"/>
    <cellStyle name="Normal 2 4 3 2 3 5 2" xfId="7025"/>
    <cellStyle name="Normal 2 4 3 2 3 5 3" xfId="11941"/>
    <cellStyle name="Normal 2 4 3 2 3 6" xfId="4577"/>
    <cellStyle name="Normal 2 4 3 2 3 6 2" xfId="9493"/>
    <cellStyle name="Normal 2 4 3 2 3 7" xfId="8250"/>
    <cellStyle name="Normal 2 4 3 2 4" xfId="928"/>
    <cellStyle name="Normal 2 4 3 2 4 2" xfId="1543"/>
    <cellStyle name="Normal 2 4 3 2 4 2 2" xfId="2769"/>
    <cellStyle name="Normal 2 4 3 2 4 2 2 2" xfId="6629"/>
    <cellStyle name="Normal 2 4 3 2 4 2 2 3" xfId="11581"/>
    <cellStyle name="Normal 2 4 3 2 4 2 3" xfId="3997"/>
    <cellStyle name="Normal 2 4 3 2 4 2 3 2" xfId="7853"/>
    <cellStyle name="Normal 2 4 3 2 4 2 3 3" xfId="10339"/>
    <cellStyle name="Normal 2 4 3 2 4 2 4" xfId="5405"/>
    <cellStyle name="Normal 2 4 3 2 4 2 5" xfId="9097"/>
    <cellStyle name="Normal 2 4 3 2 4 3" xfId="2157"/>
    <cellStyle name="Normal 2 4 3 2 4 3 2" xfId="6017"/>
    <cellStyle name="Normal 2 4 3 2 4 3 3" xfId="10933"/>
    <cellStyle name="Normal 2 4 3 2 4 4" xfId="3385"/>
    <cellStyle name="Normal 2 4 3 2 4 4 2" xfId="7241"/>
    <cellStyle name="Normal 2 4 3 2 4 4 3" xfId="9691"/>
    <cellStyle name="Normal 2 4 3 2 4 5" xfId="4793"/>
    <cellStyle name="Normal 2 4 3 2 4 6" xfId="8448"/>
    <cellStyle name="Normal 2 4 3 2 5" xfId="1237"/>
    <cellStyle name="Normal 2 4 3 2 5 2" xfId="2463"/>
    <cellStyle name="Normal 2 4 3 2 5 2 2" xfId="6323"/>
    <cellStyle name="Normal 2 4 3 2 5 2 3" xfId="11275"/>
    <cellStyle name="Normal 2 4 3 2 5 3" xfId="3691"/>
    <cellStyle name="Normal 2 4 3 2 5 3 2" xfId="7547"/>
    <cellStyle name="Normal 2 4 3 2 5 3 3" xfId="10033"/>
    <cellStyle name="Normal 2 4 3 2 5 4" xfId="5099"/>
    <cellStyle name="Normal 2 4 3 2 5 5" xfId="8791"/>
    <cellStyle name="Normal 2 4 3 2 6" xfId="1851"/>
    <cellStyle name="Normal 2 4 3 2 6 2" xfId="5711"/>
    <cellStyle name="Normal 2 4 3 2 6 3" xfId="10645"/>
    <cellStyle name="Normal 2 4 3 2 7" xfId="3078"/>
    <cellStyle name="Normal 2 4 3 2 7 2" xfId="6935"/>
    <cellStyle name="Normal 2 4 3 2 7 3" xfId="11851"/>
    <cellStyle name="Normal 2 4 3 2 8" xfId="4487"/>
    <cellStyle name="Normal 2 4 3 2 8 2" xfId="9403"/>
    <cellStyle name="Normal 2 4 3 2 9" xfId="8160"/>
    <cellStyle name="Normal 2 4 3 3" xfId="723"/>
    <cellStyle name="Normal 2 4 3 3 2" xfId="1073"/>
    <cellStyle name="Normal 2 4 3 3 2 2" xfId="1687"/>
    <cellStyle name="Normal 2 4 3 3 2 2 2" xfId="2913"/>
    <cellStyle name="Normal 2 4 3 3 2 2 2 2" xfId="6773"/>
    <cellStyle name="Normal 2 4 3 3 2 2 2 3" xfId="11725"/>
    <cellStyle name="Normal 2 4 3 3 2 2 3" xfId="4141"/>
    <cellStyle name="Normal 2 4 3 3 2 2 3 2" xfId="7997"/>
    <cellStyle name="Normal 2 4 3 3 2 2 3 3" xfId="10483"/>
    <cellStyle name="Normal 2 4 3 3 2 2 4" xfId="5549"/>
    <cellStyle name="Normal 2 4 3 3 2 2 5" xfId="9241"/>
    <cellStyle name="Normal 2 4 3 3 2 3" xfId="2301"/>
    <cellStyle name="Normal 2 4 3 3 2 3 2" xfId="6161"/>
    <cellStyle name="Normal 2 4 3 3 2 3 3" xfId="11077"/>
    <cellStyle name="Normal 2 4 3 3 2 4" xfId="3529"/>
    <cellStyle name="Normal 2 4 3 3 2 4 2" xfId="7385"/>
    <cellStyle name="Normal 2 4 3 3 2 4 3" xfId="9835"/>
    <cellStyle name="Normal 2 4 3 3 2 5" xfId="4937"/>
    <cellStyle name="Normal 2 4 3 3 2 6" xfId="8592"/>
    <cellStyle name="Normal 2 4 3 3 3" xfId="1381"/>
    <cellStyle name="Normal 2 4 3 3 3 2" xfId="2607"/>
    <cellStyle name="Normal 2 4 3 3 3 2 2" xfId="6467"/>
    <cellStyle name="Normal 2 4 3 3 3 2 3" xfId="11419"/>
    <cellStyle name="Normal 2 4 3 3 3 3" xfId="3835"/>
    <cellStyle name="Normal 2 4 3 3 3 3 2" xfId="7691"/>
    <cellStyle name="Normal 2 4 3 3 3 3 3" xfId="10177"/>
    <cellStyle name="Normal 2 4 3 3 3 4" xfId="5243"/>
    <cellStyle name="Normal 2 4 3 3 3 5" xfId="8935"/>
    <cellStyle name="Normal 2 4 3 3 4" xfId="1995"/>
    <cellStyle name="Normal 2 4 3 3 4 2" xfId="5855"/>
    <cellStyle name="Normal 2 4 3 3 4 3" xfId="10789"/>
    <cellStyle name="Normal 2 4 3 3 5" xfId="3222"/>
    <cellStyle name="Normal 2 4 3 3 5 2" xfId="7079"/>
    <cellStyle name="Normal 2 4 3 3 5 3" xfId="11995"/>
    <cellStyle name="Normal 2 4 3 3 6" xfId="4631"/>
    <cellStyle name="Normal 2 4 3 3 6 2" xfId="9547"/>
    <cellStyle name="Normal 2 4 3 3 7" xfId="8304"/>
    <cellStyle name="Normal 2 4 3 4" xfId="633"/>
    <cellStyle name="Normal 2 4 3 4 2" xfId="983"/>
    <cellStyle name="Normal 2 4 3 4 2 2" xfId="1597"/>
    <cellStyle name="Normal 2 4 3 4 2 2 2" xfId="2823"/>
    <cellStyle name="Normal 2 4 3 4 2 2 2 2" xfId="6683"/>
    <cellStyle name="Normal 2 4 3 4 2 2 2 3" xfId="11635"/>
    <cellStyle name="Normal 2 4 3 4 2 2 3" xfId="4051"/>
    <cellStyle name="Normal 2 4 3 4 2 2 3 2" xfId="7907"/>
    <cellStyle name="Normal 2 4 3 4 2 2 3 3" xfId="10393"/>
    <cellStyle name="Normal 2 4 3 4 2 2 4" xfId="5459"/>
    <cellStyle name="Normal 2 4 3 4 2 2 5" xfId="9151"/>
    <cellStyle name="Normal 2 4 3 4 2 3" xfId="2211"/>
    <cellStyle name="Normal 2 4 3 4 2 3 2" xfId="6071"/>
    <cellStyle name="Normal 2 4 3 4 2 3 3" xfId="10987"/>
    <cellStyle name="Normal 2 4 3 4 2 4" xfId="3439"/>
    <cellStyle name="Normal 2 4 3 4 2 4 2" xfId="7295"/>
    <cellStyle name="Normal 2 4 3 4 2 4 3" xfId="9745"/>
    <cellStyle name="Normal 2 4 3 4 2 5" xfId="4847"/>
    <cellStyle name="Normal 2 4 3 4 2 6" xfId="8502"/>
    <cellStyle name="Normal 2 4 3 4 3" xfId="1291"/>
    <cellStyle name="Normal 2 4 3 4 3 2" xfId="2517"/>
    <cellStyle name="Normal 2 4 3 4 3 2 2" xfId="6377"/>
    <cellStyle name="Normal 2 4 3 4 3 2 3" xfId="11329"/>
    <cellStyle name="Normal 2 4 3 4 3 3" xfId="3745"/>
    <cellStyle name="Normal 2 4 3 4 3 3 2" xfId="7601"/>
    <cellStyle name="Normal 2 4 3 4 3 3 3" xfId="10087"/>
    <cellStyle name="Normal 2 4 3 4 3 4" xfId="5153"/>
    <cellStyle name="Normal 2 4 3 4 3 5" xfId="8845"/>
    <cellStyle name="Normal 2 4 3 4 4" xfId="1905"/>
    <cellStyle name="Normal 2 4 3 4 4 2" xfId="5765"/>
    <cellStyle name="Normal 2 4 3 4 4 3" xfId="10699"/>
    <cellStyle name="Normal 2 4 3 4 5" xfId="3132"/>
    <cellStyle name="Normal 2 4 3 4 5 2" xfId="6989"/>
    <cellStyle name="Normal 2 4 3 4 5 3" xfId="11905"/>
    <cellStyle name="Normal 2 4 3 4 6" xfId="4541"/>
    <cellStyle name="Normal 2 4 3 4 6 2" xfId="9457"/>
    <cellStyle name="Normal 2 4 3 4 7" xfId="8214"/>
    <cellStyle name="Normal 2 4 3 5" xfId="539"/>
    <cellStyle name="Normal 2 4 3 5 2" xfId="889"/>
    <cellStyle name="Normal 2 4 3 5 2 2" xfId="1507"/>
    <cellStyle name="Normal 2 4 3 5 2 2 2" xfId="2733"/>
    <cellStyle name="Normal 2 4 3 5 2 2 2 2" xfId="6593"/>
    <cellStyle name="Normal 2 4 3 5 2 2 2 3" xfId="11545"/>
    <cellStyle name="Normal 2 4 3 5 2 2 3" xfId="3961"/>
    <cellStyle name="Normal 2 4 3 5 2 2 3 2" xfId="7817"/>
    <cellStyle name="Normal 2 4 3 5 2 2 3 3" xfId="10303"/>
    <cellStyle name="Normal 2 4 3 5 2 2 4" xfId="5369"/>
    <cellStyle name="Normal 2 4 3 5 2 2 5" xfId="9061"/>
    <cellStyle name="Normal 2 4 3 5 2 3" xfId="2121"/>
    <cellStyle name="Normal 2 4 3 5 2 3 2" xfId="5981"/>
    <cellStyle name="Normal 2 4 3 5 2 3 3" xfId="11149"/>
    <cellStyle name="Normal 2 4 3 5 2 4" xfId="3349"/>
    <cellStyle name="Normal 2 4 3 5 2 4 2" xfId="7205"/>
    <cellStyle name="Normal 2 4 3 5 2 4 3" xfId="9907"/>
    <cellStyle name="Normal 2 4 3 5 2 5" xfId="4757"/>
    <cellStyle name="Normal 2 4 3 5 2 6" xfId="8665"/>
    <cellStyle name="Normal 2 4 3 5 3" xfId="1201"/>
    <cellStyle name="Normal 2 4 3 5 3 2" xfId="2427"/>
    <cellStyle name="Normal 2 4 3 5 3 2 2" xfId="6287"/>
    <cellStyle name="Normal 2 4 3 5 3 2 3" xfId="11239"/>
    <cellStyle name="Normal 2 4 3 5 3 3" xfId="3655"/>
    <cellStyle name="Normal 2 4 3 5 3 3 2" xfId="7511"/>
    <cellStyle name="Normal 2 4 3 5 3 3 3" xfId="9997"/>
    <cellStyle name="Normal 2 4 3 5 3 4" xfId="5063"/>
    <cellStyle name="Normal 2 4 3 5 3 5" xfId="8755"/>
    <cellStyle name="Normal 2 4 3 5 4" xfId="1815"/>
    <cellStyle name="Normal 2 4 3 5 4 2" xfId="5675"/>
    <cellStyle name="Normal 2 4 3 5 4 2 2" xfId="11131"/>
    <cellStyle name="Normal 2 4 3 5 4 3" xfId="9889"/>
    <cellStyle name="Normal 2 4 3 5 4 4" xfId="8646"/>
    <cellStyle name="Normal 2 4 3 5 5" xfId="3042"/>
    <cellStyle name="Normal 2 4 3 5 5 2" xfId="6899"/>
    <cellStyle name="Normal 2 4 3 5 5 3" xfId="10609"/>
    <cellStyle name="Normal 2 4 3 5 6" xfId="4451"/>
    <cellStyle name="Normal 2 4 3 5 6 2" xfId="9367"/>
    <cellStyle name="Normal 2 4 3 5 7" xfId="8124"/>
    <cellStyle name="Normal 2 4 3 6" xfId="815"/>
    <cellStyle name="Normal 2 4 3 6 2" xfId="1453"/>
    <cellStyle name="Normal 2 4 3 6 2 2" xfId="2679"/>
    <cellStyle name="Normal 2 4 3 6 2 2 2" xfId="6539"/>
    <cellStyle name="Normal 2 4 3 6 2 2 3" xfId="11491"/>
    <cellStyle name="Normal 2 4 3 6 2 3" xfId="3907"/>
    <cellStyle name="Normal 2 4 3 6 2 3 2" xfId="7763"/>
    <cellStyle name="Normal 2 4 3 6 2 3 3" xfId="10249"/>
    <cellStyle name="Normal 2 4 3 6 2 4" xfId="5315"/>
    <cellStyle name="Normal 2 4 3 6 2 5" xfId="9007"/>
    <cellStyle name="Normal 2 4 3 6 3" xfId="2067"/>
    <cellStyle name="Normal 2 4 3 6 3 2" xfId="5927"/>
    <cellStyle name="Normal 2 4 3 6 3 3" xfId="10897"/>
    <cellStyle name="Normal 2 4 3 6 4" xfId="3295"/>
    <cellStyle name="Normal 2 4 3 6 4 2" xfId="7151"/>
    <cellStyle name="Normal 2 4 3 6 4 3" xfId="9655"/>
    <cellStyle name="Normal 2 4 3 6 5" xfId="4703"/>
    <cellStyle name="Normal 2 4 3 6 6" xfId="8412"/>
    <cellStyle name="Normal 2 4 3 7" xfId="1147"/>
    <cellStyle name="Normal 2 4 3 7 2" xfId="2373"/>
    <cellStyle name="Normal 2 4 3 7 2 2" xfId="6233"/>
    <cellStyle name="Normal 2 4 3 7 2 3" xfId="11185"/>
    <cellStyle name="Normal 2 4 3 7 3" xfId="3601"/>
    <cellStyle name="Normal 2 4 3 7 3 2" xfId="7457"/>
    <cellStyle name="Normal 2 4 3 7 3 3" xfId="9943"/>
    <cellStyle name="Normal 2 4 3 7 4" xfId="5009"/>
    <cellStyle name="Normal 2 4 3 7 5" xfId="8701"/>
    <cellStyle name="Normal 2 4 3 8" xfId="1761"/>
    <cellStyle name="Normal 2 4 3 8 2" xfId="5621"/>
    <cellStyle name="Normal 2 4 3 8 3" xfId="10555"/>
    <cellStyle name="Normal 2 4 3 9" xfId="2988"/>
    <cellStyle name="Normal 2 4 3 9 2" xfId="6845"/>
    <cellStyle name="Normal 2 4 3 9 3" xfId="11815"/>
    <cellStyle name="Normal 2 4 4" xfId="560"/>
    <cellStyle name="Normal 2 4 4 2" xfId="741"/>
    <cellStyle name="Normal 2 4 4 2 2" xfId="1091"/>
    <cellStyle name="Normal 2 4 4 2 2 2" xfId="1705"/>
    <cellStyle name="Normal 2 4 4 2 2 2 2" xfId="2931"/>
    <cellStyle name="Normal 2 4 4 2 2 2 2 2" xfId="6791"/>
    <cellStyle name="Normal 2 4 4 2 2 2 2 3" xfId="11743"/>
    <cellStyle name="Normal 2 4 4 2 2 2 3" xfId="4159"/>
    <cellStyle name="Normal 2 4 4 2 2 2 3 2" xfId="8015"/>
    <cellStyle name="Normal 2 4 4 2 2 2 3 3" xfId="10501"/>
    <cellStyle name="Normal 2 4 4 2 2 2 4" xfId="5567"/>
    <cellStyle name="Normal 2 4 4 2 2 2 5" xfId="9259"/>
    <cellStyle name="Normal 2 4 4 2 2 3" xfId="2319"/>
    <cellStyle name="Normal 2 4 4 2 2 3 2" xfId="6179"/>
    <cellStyle name="Normal 2 4 4 2 2 3 3" xfId="11095"/>
    <cellStyle name="Normal 2 4 4 2 2 4" xfId="3547"/>
    <cellStyle name="Normal 2 4 4 2 2 4 2" xfId="7403"/>
    <cellStyle name="Normal 2 4 4 2 2 4 3" xfId="9853"/>
    <cellStyle name="Normal 2 4 4 2 2 5" xfId="4955"/>
    <cellStyle name="Normal 2 4 4 2 2 6" xfId="8610"/>
    <cellStyle name="Normal 2 4 4 2 3" xfId="1399"/>
    <cellStyle name="Normal 2 4 4 2 3 2" xfId="2625"/>
    <cellStyle name="Normal 2 4 4 2 3 2 2" xfId="6485"/>
    <cellStyle name="Normal 2 4 4 2 3 2 3" xfId="11437"/>
    <cellStyle name="Normal 2 4 4 2 3 3" xfId="3853"/>
    <cellStyle name="Normal 2 4 4 2 3 3 2" xfId="7709"/>
    <cellStyle name="Normal 2 4 4 2 3 3 3" xfId="10195"/>
    <cellStyle name="Normal 2 4 4 2 3 4" xfId="5261"/>
    <cellStyle name="Normal 2 4 4 2 3 5" xfId="8953"/>
    <cellStyle name="Normal 2 4 4 2 4" xfId="2013"/>
    <cellStyle name="Normal 2 4 4 2 4 2" xfId="5873"/>
    <cellStyle name="Normal 2 4 4 2 4 3" xfId="10807"/>
    <cellStyle name="Normal 2 4 4 2 5" xfId="3240"/>
    <cellStyle name="Normal 2 4 4 2 5 2" xfId="7097"/>
    <cellStyle name="Normal 2 4 4 2 5 3" xfId="12013"/>
    <cellStyle name="Normal 2 4 4 2 6" xfId="4649"/>
    <cellStyle name="Normal 2 4 4 2 6 2" xfId="9565"/>
    <cellStyle name="Normal 2 4 4 2 7" xfId="8322"/>
    <cellStyle name="Normal 2 4 4 3" xfId="651"/>
    <cellStyle name="Normal 2 4 4 3 2" xfId="1001"/>
    <cellStyle name="Normal 2 4 4 3 2 2" xfId="1615"/>
    <cellStyle name="Normal 2 4 4 3 2 2 2" xfId="2841"/>
    <cellStyle name="Normal 2 4 4 3 2 2 2 2" xfId="6701"/>
    <cellStyle name="Normal 2 4 4 3 2 2 2 3" xfId="11653"/>
    <cellStyle name="Normal 2 4 4 3 2 2 3" xfId="4069"/>
    <cellStyle name="Normal 2 4 4 3 2 2 3 2" xfId="7925"/>
    <cellStyle name="Normal 2 4 4 3 2 2 3 3" xfId="10411"/>
    <cellStyle name="Normal 2 4 4 3 2 2 4" xfId="5477"/>
    <cellStyle name="Normal 2 4 4 3 2 2 5" xfId="9169"/>
    <cellStyle name="Normal 2 4 4 3 2 3" xfId="2229"/>
    <cellStyle name="Normal 2 4 4 3 2 3 2" xfId="6089"/>
    <cellStyle name="Normal 2 4 4 3 2 3 3" xfId="11005"/>
    <cellStyle name="Normal 2 4 4 3 2 4" xfId="3457"/>
    <cellStyle name="Normal 2 4 4 3 2 4 2" xfId="7313"/>
    <cellStyle name="Normal 2 4 4 3 2 4 3" xfId="9763"/>
    <cellStyle name="Normal 2 4 4 3 2 5" xfId="4865"/>
    <cellStyle name="Normal 2 4 4 3 2 6" xfId="8520"/>
    <cellStyle name="Normal 2 4 4 3 3" xfId="1309"/>
    <cellStyle name="Normal 2 4 4 3 3 2" xfId="2535"/>
    <cellStyle name="Normal 2 4 4 3 3 2 2" xfId="6395"/>
    <cellStyle name="Normal 2 4 4 3 3 2 3" xfId="11347"/>
    <cellStyle name="Normal 2 4 4 3 3 3" xfId="3763"/>
    <cellStyle name="Normal 2 4 4 3 3 3 2" xfId="7619"/>
    <cellStyle name="Normal 2 4 4 3 3 3 3" xfId="10105"/>
    <cellStyle name="Normal 2 4 4 3 3 4" xfId="5171"/>
    <cellStyle name="Normal 2 4 4 3 3 5" xfId="8863"/>
    <cellStyle name="Normal 2 4 4 3 4" xfId="1923"/>
    <cellStyle name="Normal 2 4 4 3 4 2" xfId="5783"/>
    <cellStyle name="Normal 2 4 4 3 4 3" xfId="10717"/>
    <cellStyle name="Normal 2 4 4 3 5" xfId="3150"/>
    <cellStyle name="Normal 2 4 4 3 5 2" xfId="7007"/>
    <cellStyle name="Normal 2 4 4 3 5 3" xfId="11923"/>
    <cellStyle name="Normal 2 4 4 3 6" xfId="4559"/>
    <cellStyle name="Normal 2 4 4 3 6 2" xfId="9475"/>
    <cellStyle name="Normal 2 4 4 3 7" xfId="8232"/>
    <cellStyle name="Normal 2 4 4 4" xfId="910"/>
    <cellStyle name="Normal 2 4 4 4 2" xfId="1525"/>
    <cellStyle name="Normal 2 4 4 4 2 2" xfId="2751"/>
    <cellStyle name="Normal 2 4 4 4 2 2 2" xfId="6611"/>
    <cellStyle name="Normal 2 4 4 4 2 2 3" xfId="11563"/>
    <cellStyle name="Normal 2 4 4 4 2 3" xfId="3979"/>
    <cellStyle name="Normal 2 4 4 4 2 3 2" xfId="7835"/>
    <cellStyle name="Normal 2 4 4 4 2 3 3" xfId="10321"/>
    <cellStyle name="Normal 2 4 4 4 2 4" xfId="5387"/>
    <cellStyle name="Normal 2 4 4 4 2 5" xfId="9079"/>
    <cellStyle name="Normal 2 4 4 4 3" xfId="2139"/>
    <cellStyle name="Normal 2 4 4 4 3 2" xfId="5999"/>
    <cellStyle name="Normal 2 4 4 4 3 3" xfId="10915"/>
    <cellStyle name="Normal 2 4 4 4 4" xfId="3367"/>
    <cellStyle name="Normal 2 4 4 4 4 2" xfId="7223"/>
    <cellStyle name="Normal 2 4 4 4 4 3" xfId="9673"/>
    <cellStyle name="Normal 2 4 4 4 5" xfId="4775"/>
    <cellStyle name="Normal 2 4 4 4 6" xfId="8430"/>
    <cellStyle name="Normal 2 4 4 5" xfId="1219"/>
    <cellStyle name="Normal 2 4 4 5 2" xfId="2445"/>
    <cellStyle name="Normal 2 4 4 5 2 2" xfId="6305"/>
    <cellStyle name="Normal 2 4 4 5 2 3" xfId="11257"/>
    <cellStyle name="Normal 2 4 4 5 3" xfId="3673"/>
    <cellStyle name="Normal 2 4 4 5 3 2" xfId="7529"/>
    <cellStyle name="Normal 2 4 4 5 3 3" xfId="10015"/>
    <cellStyle name="Normal 2 4 4 5 4" xfId="5081"/>
    <cellStyle name="Normal 2 4 4 5 5" xfId="8773"/>
    <cellStyle name="Normal 2 4 4 6" xfId="1833"/>
    <cellStyle name="Normal 2 4 4 6 2" xfId="5693"/>
    <cellStyle name="Normal 2 4 4 6 3" xfId="10627"/>
    <cellStyle name="Normal 2 4 4 7" xfId="3060"/>
    <cellStyle name="Normal 2 4 4 7 2" xfId="6917"/>
    <cellStyle name="Normal 2 4 4 7 3" xfId="11833"/>
    <cellStyle name="Normal 2 4 4 8" xfId="4469"/>
    <cellStyle name="Normal 2 4 4 8 2" xfId="9385"/>
    <cellStyle name="Normal 2 4 4 9" xfId="8142"/>
    <cellStyle name="Normal 2 4 5" xfId="503"/>
    <cellStyle name="Normal 2 4 5 2" xfId="705"/>
    <cellStyle name="Normal 2 4 5 2 2" xfId="1055"/>
    <cellStyle name="Normal 2 4 5 2 2 2" xfId="1669"/>
    <cellStyle name="Normal 2 4 5 2 2 2 2" xfId="2895"/>
    <cellStyle name="Normal 2 4 5 2 2 2 2 2" xfId="6755"/>
    <cellStyle name="Normal 2 4 5 2 2 2 2 3" xfId="11707"/>
    <cellStyle name="Normal 2 4 5 2 2 2 3" xfId="4123"/>
    <cellStyle name="Normal 2 4 5 2 2 2 3 2" xfId="7979"/>
    <cellStyle name="Normal 2 4 5 2 2 2 3 3" xfId="10465"/>
    <cellStyle name="Normal 2 4 5 2 2 2 4" xfId="5531"/>
    <cellStyle name="Normal 2 4 5 2 2 2 5" xfId="9223"/>
    <cellStyle name="Normal 2 4 5 2 2 3" xfId="2283"/>
    <cellStyle name="Normal 2 4 5 2 2 3 2" xfId="6143"/>
    <cellStyle name="Normal 2 4 5 2 2 3 3" xfId="11059"/>
    <cellStyle name="Normal 2 4 5 2 2 4" xfId="3511"/>
    <cellStyle name="Normal 2 4 5 2 2 4 2" xfId="7367"/>
    <cellStyle name="Normal 2 4 5 2 2 4 3" xfId="9817"/>
    <cellStyle name="Normal 2 4 5 2 2 5" xfId="4919"/>
    <cellStyle name="Normal 2 4 5 2 2 6" xfId="8574"/>
    <cellStyle name="Normal 2 4 5 2 3" xfId="1363"/>
    <cellStyle name="Normal 2 4 5 2 3 2" xfId="2589"/>
    <cellStyle name="Normal 2 4 5 2 3 2 2" xfId="6449"/>
    <cellStyle name="Normal 2 4 5 2 3 2 3" xfId="11401"/>
    <cellStyle name="Normal 2 4 5 2 3 3" xfId="3817"/>
    <cellStyle name="Normal 2 4 5 2 3 3 2" xfId="7673"/>
    <cellStyle name="Normal 2 4 5 2 3 3 3" xfId="10159"/>
    <cellStyle name="Normal 2 4 5 2 3 4" xfId="5225"/>
    <cellStyle name="Normal 2 4 5 2 3 5" xfId="8917"/>
    <cellStyle name="Normal 2 4 5 2 4" xfId="1977"/>
    <cellStyle name="Normal 2 4 5 2 4 2" xfId="5837"/>
    <cellStyle name="Normal 2 4 5 2 4 3" xfId="10771"/>
    <cellStyle name="Normal 2 4 5 2 5" xfId="3204"/>
    <cellStyle name="Normal 2 4 5 2 5 2" xfId="7061"/>
    <cellStyle name="Normal 2 4 5 2 5 3" xfId="11977"/>
    <cellStyle name="Normal 2 4 5 2 6" xfId="4613"/>
    <cellStyle name="Normal 2 4 5 2 6 2" xfId="9529"/>
    <cellStyle name="Normal 2 4 5 2 7" xfId="8286"/>
    <cellStyle name="Normal 2 4 5 3" xfId="615"/>
    <cellStyle name="Normal 2 4 5 3 2" xfId="965"/>
    <cellStyle name="Normal 2 4 5 3 2 2" xfId="1579"/>
    <cellStyle name="Normal 2 4 5 3 2 2 2" xfId="2805"/>
    <cellStyle name="Normal 2 4 5 3 2 2 2 2" xfId="6665"/>
    <cellStyle name="Normal 2 4 5 3 2 2 2 3" xfId="11617"/>
    <cellStyle name="Normal 2 4 5 3 2 2 3" xfId="4033"/>
    <cellStyle name="Normal 2 4 5 3 2 2 3 2" xfId="7889"/>
    <cellStyle name="Normal 2 4 5 3 2 2 3 3" xfId="10375"/>
    <cellStyle name="Normal 2 4 5 3 2 2 4" xfId="5441"/>
    <cellStyle name="Normal 2 4 5 3 2 2 5" xfId="9133"/>
    <cellStyle name="Normal 2 4 5 3 2 3" xfId="2193"/>
    <cellStyle name="Normal 2 4 5 3 2 3 2" xfId="6053"/>
    <cellStyle name="Normal 2 4 5 3 2 3 3" xfId="10969"/>
    <cellStyle name="Normal 2 4 5 3 2 4" xfId="3421"/>
    <cellStyle name="Normal 2 4 5 3 2 4 2" xfId="7277"/>
    <cellStyle name="Normal 2 4 5 3 2 4 3" xfId="9727"/>
    <cellStyle name="Normal 2 4 5 3 2 5" xfId="4829"/>
    <cellStyle name="Normal 2 4 5 3 2 6" xfId="8484"/>
    <cellStyle name="Normal 2 4 5 3 3" xfId="1273"/>
    <cellStyle name="Normal 2 4 5 3 3 2" xfId="2499"/>
    <cellStyle name="Normal 2 4 5 3 3 2 2" xfId="6359"/>
    <cellStyle name="Normal 2 4 5 3 3 2 3" xfId="11311"/>
    <cellStyle name="Normal 2 4 5 3 3 3" xfId="3727"/>
    <cellStyle name="Normal 2 4 5 3 3 3 2" xfId="7583"/>
    <cellStyle name="Normal 2 4 5 3 3 3 3" xfId="10069"/>
    <cellStyle name="Normal 2 4 5 3 3 4" xfId="5135"/>
    <cellStyle name="Normal 2 4 5 3 3 5" xfId="8827"/>
    <cellStyle name="Normal 2 4 5 3 4" xfId="1887"/>
    <cellStyle name="Normal 2 4 5 3 4 2" xfId="5747"/>
    <cellStyle name="Normal 2 4 5 3 4 3" xfId="10681"/>
    <cellStyle name="Normal 2 4 5 3 5" xfId="3114"/>
    <cellStyle name="Normal 2 4 5 3 5 2" xfId="6971"/>
    <cellStyle name="Normal 2 4 5 3 5 3" xfId="11887"/>
    <cellStyle name="Normal 2 4 5 3 6" xfId="4523"/>
    <cellStyle name="Normal 2 4 5 3 6 2" xfId="9439"/>
    <cellStyle name="Normal 2 4 5 3 7" xfId="8196"/>
    <cellStyle name="Normal 2 4 5 4" xfId="853"/>
    <cellStyle name="Normal 2 4 5 4 2" xfId="1489"/>
    <cellStyle name="Normal 2 4 5 4 2 2" xfId="2715"/>
    <cellStyle name="Normal 2 4 5 4 2 2 2" xfId="6575"/>
    <cellStyle name="Normal 2 4 5 4 2 2 3" xfId="11527"/>
    <cellStyle name="Normal 2 4 5 4 2 3" xfId="3943"/>
    <cellStyle name="Normal 2 4 5 4 2 3 2" xfId="7799"/>
    <cellStyle name="Normal 2 4 5 4 2 3 3" xfId="10285"/>
    <cellStyle name="Normal 2 4 5 4 2 4" xfId="5351"/>
    <cellStyle name="Normal 2 4 5 4 2 5" xfId="9043"/>
    <cellStyle name="Normal 2 4 5 4 3" xfId="2103"/>
    <cellStyle name="Normal 2 4 5 4 3 2" xfId="5963"/>
    <cellStyle name="Normal 2 4 5 4 3 3" xfId="10879"/>
    <cellStyle name="Normal 2 4 5 4 4" xfId="3331"/>
    <cellStyle name="Normal 2 4 5 4 4 2" xfId="7187"/>
    <cellStyle name="Normal 2 4 5 4 4 3" xfId="9637"/>
    <cellStyle name="Normal 2 4 5 4 5" xfId="4739"/>
    <cellStyle name="Normal 2 4 5 4 6" xfId="8394"/>
    <cellStyle name="Normal 2 4 5 5" xfId="1183"/>
    <cellStyle name="Normal 2 4 5 5 2" xfId="2409"/>
    <cellStyle name="Normal 2 4 5 5 2 2" xfId="6269"/>
    <cellStyle name="Normal 2 4 5 5 2 3" xfId="11221"/>
    <cellStyle name="Normal 2 4 5 5 3" xfId="3637"/>
    <cellStyle name="Normal 2 4 5 5 3 2" xfId="7493"/>
    <cellStyle name="Normal 2 4 5 5 3 3" xfId="9979"/>
    <cellStyle name="Normal 2 4 5 5 4" xfId="5045"/>
    <cellStyle name="Normal 2 4 5 5 5" xfId="8737"/>
    <cellStyle name="Normal 2 4 5 6" xfId="1797"/>
    <cellStyle name="Normal 2 4 5 6 2" xfId="5657"/>
    <cellStyle name="Normal 2 4 5 6 3" xfId="10591"/>
    <cellStyle name="Normal 2 4 5 7" xfId="3024"/>
    <cellStyle name="Normal 2 4 5 7 2" xfId="6881"/>
    <cellStyle name="Normal 2 4 5 7 3" xfId="11797"/>
    <cellStyle name="Normal 2 4 5 8" xfId="4433"/>
    <cellStyle name="Normal 2 4 5 8 2" xfId="9349"/>
    <cellStyle name="Normal 2 4 5 9" xfId="8106"/>
    <cellStyle name="Normal 2 4 6" xfId="687"/>
    <cellStyle name="Normal 2 4 6 2" xfId="1037"/>
    <cellStyle name="Normal 2 4 6 2 2" xfId="1651"/>
    <cellStyle name="Normal 2 4 6 2 2 2" xfId="2877"/>
    <cellStyle name="Normal 2 4 6 2 2 2 2" xfId="6737"/>
    <cellStyle name="Normal 2 4 6 2 2 2 3" xfId="11689"/>
    <cellStyle name="Normal 2 4 6 2 2 3" xfId="4105"/>
    <cellStyle name="Normal 2 4 6 2 2 3 2" xfId="7961"/>
    <cellStyle name="Normal 2 4 6 2 2 3 3" xfId="10447"/>
    <cellStyle name="Normal 2 4 6 2 2 4" xfId="5513"/>
    <cellStyle name="Normal 2 4 6 2 2 5" xfId="9205"/>
    <cellStyle name="Normal 2 4 6 2 3" xfId="2265"/>
    <cellStyle name="Normal 2 4 6 2 3 2" xfId="6125"/>
    <cellStyle name="Normal 2 4 6 2 3 3" xfId="11041"/>
    <cellStyle name="Normal 2 4 6 2 4" xfId="3493"/>
    <cellStyle name="Normal 2 4 6 2 4 2" xfId="7349"/>
    <cellStyle name="Normal 2 4 6 2 4 3" xfId="9799"/>
    <cellStyle name="Normal 2 4 6 2 5" xfId="4901"/>
    <cellStyle name="Normal 2 4 6 2 6" xfId="8556"/>
    <cellStyle name="Normal 2 4 6 3" xfId="1345"/>
    <cellStyle name="Normal 2 4 6 3 2" xfId="2571"/>
    <cellStyle name="Normal 2 4 6 3 2 2" xfId="6431"/>
    <cellStyle name="Normal 2 4 6 3 2 3" xfId="11383"/>
    <cellStyle name="Normal 2 4 6 3 3" xfId="3799"/>
    <cellStyle name="Normal 2 4 6 3 3 2" xfId="7655"/>
    <cellStyle name="Normal 2 4 6 3 3 3" xfId="10141"/>
    <cellStyle name="Normal 2 4 6 3 4" xfId="5207"/>
    <cellStyle name="Normal 2 4 6 3 5" xfId="8899"/>
    <cellStyle name="Normal 2 4 6 4" xfId="1959"/>
    <cellStyle name="Normal 2 4 6 4 2" xfId="5819"/>
    <cellStyle name="Normal 2 4 6 4 3" xfId="10753"/>
    <cellStyle name="Normal 2 4 6 5" xfId="3186"/>
    <cellStyle name="Normal 2 4 6 5 2" xfId="7043"/>
    <cellStyle name="Normal 2 4 6 5 3" xfId="11959"/>
    <cellStyle name="Normal 2 4 6 6" xfId="4595"/>
    <cellStyle name="Normal 2 4 6 6 2" xfId="9511"/>
    <cellStyle name="Normal 2 4 6 7" xfId="8268"/>
    <cellStyle name="Normal 2 4 7" xfId="597"/>
    <cellStyle name="Normal 2 4 7 2" xfId="947"/>
    <cellStyle name="Normal 2 4 7 2 2" xfId="1561"/>
    <cellStyle name="Normal 2 4 7 2 2 2" xfId="2787"/>
    <cellStyle name="Normal 2 4 7 2 2 2 2" xfId="6647"/>
    <cellStyle name="Normal 2 4 7 2 2 2 3" xfId="11599"/>
    <cellStyle name="Normal 2 4 7 2 2 3" xfId="4015"/>
    <cellStyle name="Normal 2 4 7 2 2 3 2" xfId="7871"/>
    <cellStyle name="Normal 2 4 7 2 2 3 3" xfId="10357"/>
    <cellStyle name="Normal 2 4 7 2 2 4" xfId="5423"/>
    <cellStyle name="Normal 2 4 7 2 2 5" xfId="9115"/>
    <cellStyle name="Normal 2 4 7 2 3" xfId="2175"/>
    <cellStyle name="Normal 2 4 7 2 3 2" xfId="6035"/>
    <cellStyle name="Normal 2 4 7 2 3 3" xfId="10951"/>
    <cellStyle name="Normal 2 4 7 2 4" xfId="3403"/>
    <cellStyle name="Normal 2 4 7 2 4 2" xfId="7259"/>
    <cellStyle name="Normal 2 4 7 2 4 3" xfId="9709"/>
    <cellStyle name="Normal 2 4 7 2 5" xfId="4811"/>
    <cellStyle name="Normal 2 4 7 2 6" xfId="8466"/>
    <cellStyle name="Normal 2 4 7 3" xfId="1255"/>
    <cellStyle name="Normal 2 4 7 3 2" xfId="2481"/>
    <cellStyle name="Normal 2 4 7 3 2 2" xfId="6341"/>
    <cellStyle name="Normal 2 4 7 3 2 3" xfId="11293"/>
    <cellStyle name="Normal 2 4 7 3 3" xfId="3709"/>
    <cellStyle name="Normal 2 4 7 3 3 2" xfId="7565"/>
    <cellStyle name="Normal 2 4 7 3 3 3" xfId="10051"/>
    <cellStyle name="Normal 2 4 7 3 4" xfId="5117"/>
    <cellStyle name="Normal 2 4 7 3 5" xfId="8809"/>
    <cellStyle name="Normal 2 4 7 4" xfId="1869"/>
    <cellStyle name="Normal 2 4 7 4 2" xfId="5729"/>
    <cellStyle name="Normal 2 4 7 4 3" xfId="10663"/>
    <cellStyle name="Normal 2 4 7 5" xfId="3096"/>
    <cellStyle name="Normal 2 4 7 5 2" xfId="6953"/>
    <cellStyle name="Normal 2 4 7 5 3" xfId="11869"/>
    <cellStyle name="Normal 2 4 7 6" xfId="4505"/>
    <cellStyle name="Normal 2 4 7 6 2" xfId="9421"/>
    <cellStyle name="Normal 2 4 7 7" xfId="8178"/>
    <cellStyle name="Normal 2 4 8" xfId="483"/>
    <cellStyle name="Normal 2 4 8 2" xfId="833"/>
    <cellStyle name="Normal 2 4 8 2 2" xfId="1471"/>
    <cellStyle name="Normal 2 4 8 2 2 2" xfId="2697"/>
    <cellStyle name="Normal 2 4 8 2 2 2 2" xfId="6557"/>
    <cellStyle name="Normal 2 4 8 2 2 2 3" xfId="11509"/>
    <cellStyle name="Normal 2 4 8 2 2 3" xfId="3925"/>
    <cellStyle name="Normal 2 4 8 2 2 3 2" xfId="7781"/>
    <cellStyle name="Normal 2 4 8 2 2 3 3" xfId="10267"/>
    <cellStyle name="Normal 2 4 8 2 2 4" xfId="5333"/>
    <cellStyle name="Normal 2 4 8 2 2 5" xfId="9025"/>
    <cellStyle name="Normal 2 4 8 2 3" xfId="2085"/>
    <cellStyle name="Normal 2 4 8 2 3 2" xfId="5945"/>
    <cellStyle name="Normal 2 4 8 2 3 3" xfId="10861"/>
    <cellStyle name="Normal 2 4 8 2 4" xfId="3313"/>
    <cellStyle name="Normal 2 4 8 2 4 2" xfId="7169"/>
    <cellStyle name="Normal 2 4 8 2 4 3" xfId="9619"/>
    <cellStyle name="Normal 2 4 8 2 5" xfId="4721"/>
    <cellStyle name="Normal 2 4 8 2 6" xfId="8376"/>
    <cellStyle name="Normal 2 4 8 3" xfId="1165"/>
    <cellStyle name="Normal 2 4 8 3 2" xfId="2391"/>
    <cellStyle name="Normal 2 4 8 3 2 2" xfId="6251"/>
    <cellStyle name="Normal 2 4 8 3 2 3" xfId="11203"/>
    <cellStyle name="Normal 2 4 8 3 3" xfId="3619"/>
    <cellStyle name="Normal 2 4 8 3 3 2" xfId="7475"/>
    <cellStyle name="Normal 2 4 8 3 3 3" xfId="9961"/>
    <cellStyle name="Normal 2 4 8 3 4" xfId="5027"/>
    <cellStyle name="Normal 2 4 8 3 5" xfId="8719"/>
    <cellStyle name="Normal 2 4 8 4" xfId="1779"/>
    <cellStyle name="Normal 2 4 8 4 2" xfId="5639"/>
    <cellStyle name="Normal 2 4 8 4 3" xfId="10573"/>
    <cellStyle name="Normal 2 4 8 5" xfId="3006"/>
    <cellStyle name="Normal 2 4 8 5 2" xfId="6863"/>
    <cellStyle name="Normal 2 4 8 5 3" xfId="12049"/>
    <cellStyle name="Normal 2 4 8 6" xfId="4415"/>
    <cellStyle name="Normal 2 4 8 6 2" xfId="9331"/>
    <cellStyle name="Normal 2 4 8 7" xfId="8088"/>
    <cellStyle name="Normal 2 4 9" xfId="795"/>
    <cellStyle name="Normal 2 4 9 2" xfId="1435"/>
    <cellStyle name="Normal 2 4 9 2 2" xfId="2661"/>
    <cellStyle name="Normal 2 4 9 2 2 2" xfId="6521"/>
    <cellStyle name="Normal 2 4 9 2 2 3" xfId="11473"/>
    <cellStyle name="Normal 2 4 9 2 3" xfId="3889"/>
    <cellStyle name="Normal 2 4 9 2 3 2" xfId="7745"/>
    <cellStyle name="Normal 2 4 9 2 3 3" xfId="10231"/>
    <cellStyle name="Normal 2 4 9 2 4" xfId="5297"/>
    <cellStyle name="Normal 2 4 9 2 5" xfId="8989"/>
    <cellStyle name="Normal 2 4 9 3" xfId="2049"/>
    <cellStyle name="Normal 2 4 9 3 2" xfId="5909"/>
    <cellStyle name="Normal 2 4 9 3 3" xfId="10843"/>
    <cellStyle name="Normal 2 4 9 4" xfId="3277"/>
    <cellStyle name="Normal 2 4 9 4 2" xfId="7133"/>
    <cellStyle name="Normal 2 4 9 4 3" xfId="9601"/>
    <cellStyle name="Normal 2 4 9 5" xfId="4685"/>
    <cellStyle name="Normal 2 4 9 6" xfId="8358"/>
    <cellStyle name="Normal 2 40" xfId="179"/>
    <cellStyle name="Normal 2 40 2" xfId="4261"/>
    <cellStyle name="Normal 2 41" xfId="180"/>
    <cellStyle name="Normal 2 41 2" xfId="4262"/>
    <cellStyle name="Normal 2 42" xfId="181"/>
    <cellStyle name="Normal 2 42 2" xfId="4263"/>
    <cellStyle name="Normal 2 43" xfId="182"/>
    <cellStyle name="Normal 2 43 2" xfId="4264"/>
    <cellStyle name="Normal 2 44" xfId="183"/>
    <cellStyle name="Normal 2 44 2" xfId="4265"/>
    <cellStyle name="Normal 2 45" xfId="184"/>
    <cellStyle name="Normal 2 45 2" xfId="4266"/>
    <cellStyle name="Normal 2 46" xfId="185"/>
    <cellStyle name="Normal 2 46 2" xfId="4267"/>
    <cellStyle name="Normal 2 47" xfId="186"/>
    <cellStyle name="Normal 2 47 2" xfId="4268"/>
    <cellStyle name="Normal 2 48" xfId="187"/>
    <cellStyle name="Normal 2 48 2" xfId="4269"/>
    <cellStyle name="Normal 2 49" xfId="188"/>
    <cellStyle name="Normal 2 49 2" xfId="4270"/>
    <cellStyle name="Normal 2 5" xfId="189"/>
    <cellStyle name="Normal 2 5 10" xfId="446"/>
    <cellStyle name="Normal 2 5 10 2" xfId="4381"/>
    <cellStyle name="Normal 2 5 10 3" xfId="10539"/>
    <cellStyle name="Normal 2 5 11" xfId="1745"/>
    <cellStyle name="Normal 2 5 11 2" xfId="5605"/>
    <cellStyle name="Normal 2 5 11 3" xfId="11781"/>
    <cellStyle name="Normal 2 5 12" xfId="2972"/>
    <cellStyle name="Normal 2 5 12 2" xfId="6829"/>
    <cellStyle name="Normal 2 5 12 3" xfId="9297"/>
    <cellStyle name="Normal 2 5 13" xfId="4271"/>
    <cellStyle name="Normal 2 5 14" xfId="8054"/>
    <cellStyle name="Normal 2 5 2" xfId="467"/>
    <cellStyle name="Normal 2 5 2 10" xfId="4399"/>
    <cellStyle name="Normal 2 5 2 10 2" xfId="9315"/>
    <cellStyle name="Normal 2 5 2 11" xfId="8072"/>
    <cellStyle name="Normal 2 5 2 2" xfId="580"/>
    <cellStyle name="Normal 2 5 2 2 2" xfId="761"/>
    <cellStyle name="Normal 2 5 2 2 2 2" xfId="1111"/>
    <cellStyle name="Normal 2 5 2 2 2 2 2" xfId="1725"/>
    <cellStyle name="Normal 2 5 2 2 2 2 2 2" xfId="2951"/>
    <cellStyle name="Normal 2 5 2 2 2 2 2 2 2" xfId="6811"/>
    <cellStyle name="Normal 2 5 2 2 2 2 2 2 3" xfId="11763"/>
    <cellStyle name="Normal 2 5 2 2 2 2 2 3" xfId="4179"/>
    <cellStyle name="Normal 2 5 2 2 2 2 2 3 2" xfId="8035"/>
    <cellStyle name="Normal 2 5 2 2 2 2 2 3 3" xfId="10521"/>
    <cellStyle name="Normal 2 5 2 2 2 2 2 4" xfId="5587"/>
    <cellStyle name="Normal 2 5 2 2 2 2 2 5" xfId="9279"/>
    <cellStyle name="Normal 2 5 2 2 2 2 3" xfId="2339"/>
    <cellStyle name="Normal 2 5 2 2 2 2 3 2" xfId="6199"/>
    <cellStyle name="Normal 2 5 2 2 2 2 3 3" xfId="11115"/>
    <cellStyle name="Normal 2 5 2 2 2 2 4" xfId="3567"/>
    <cellStyle name="Normal 2 5 2 2 2 2 4 2" xfId="7423"/>
    <cellStyle name="Normal 2 5 2 2 2 2 4 3" xfId="9873"/>
    <cellStyle name="Normal 2 5 2 2 2 2 5" xfId="4975"/>
    <cellStyle name="Normal 2 5 2 2 2 2 6" xfId="8630"/>
    <cellStyle name="Normal 2 5 2 2 2 3" xfId="1419"/>
    <cellStyle name="Normal 2 5 2 2 2 3 2" xfId="2645"/>
    <cellStyle name="Normal 2 5 2 2 2 3 2 2" xfId="6505"/>
    <cellStyle name="Normal 2 5 2 2 2 3 2 3" xfId="11457"/>
    <cellStyle name="Normal 2 5 2 2 2 3 3" xfId="3873"/>
    <cellStyle name="Normal 2 5 2 2 2 3 3 2" xfId="7729"/>
    <cellStyle name="Normal 2 5 2 2 2 3 3 3" xfId="10215"/>
    <cellStyle name="Normal 2 5 2 2 2 3 4" xfId="5281"/>
    <cellStyle name="Normal 2 5 2 2 2 3 5" xfId="8973"/>
    <cellStyle name="Normal 2 5 2 2 2 4" xfId="2033"/>
    <cellStyle name="Normal 2 5 2 2 2 4 2" xfId="5893"/>
    <cellStyle name="Normal 2 5 2 2 2 4 3" xfId="10827"/>
    <cellStyle name="Normal 2 5 2 2 2 5" xfId="3260"/>
    <cellStyle name="Normal 2 5 2 2 2 5 2" xfId="7117"/>
    <cellStyle name="Normal 2 5 2 2 2 5 3" xfId="12033"/>
    <cellStyle name="Normal 2 5 2 2 2 6" xfId="4669"/>
    <cellStyle name="Normal 2 5 2 2 2 6 2" xfId="9585"/>
    <cellStyle name="Normal 2 5 2 2 2 7" xfId="8342"/>
    <cellStyle name="Normal 2 5 2 2 3" xfId="671"/>
    <cellStyle name="Normal 2 5 2 2 3 2" xfId="1021"/>
    <cellStyle name="Normal 2 5 2 2 3 2 2" xfId="1635"/>
    <cellStyle name="Normal 2 5 2 2 3 2 2 2" xfId="2861"/>
    <cellStyle name="Normal 2 5 2 2 3 2 2 2 2" xfId="6721"/>
    <cellStyle name="Normal 2 5 2 2 3 2 2 2 3" xfId="11673"/>
    <cellStyle name="Normal 2 5 2 2 3 2 2 3" xfId="4089"/>
    <cellStyle name="Normal 2 5 2 2 3 2 2 3 2" xfId="7945"/>
    <cellStyle name="Normal 2 5 2 2 3 2 2 3 3" xfId="10431"/>
    <cellStyle name="Normal 2 5 2 2 3 2 2 4" xfId="5497"/>
    <cellStyle name="Normal 2 5 2 2 3 2 2 5" xfId="9189"/>
    <cellStyle name="Normal 2 5 2 2 3 2 3" xfId="2249"/>
    <cellStyle name="Normal 2 5 2 2 3 2 3 2" xfId="6109"/>
    <cellStyle name="Normal 2 5 2 2 3 2 3 3" xfId="11025"/>
    <cellStyle name="Normal 2 5 2 2 3 2 4" xfId="3477"/>
    <cellStyle name="Normal 2 5 2 2 3 2 4 2" xfId="7333"/>
    <cellStyle name="Normal 2 5 2 2 3 2 4 3" xfId="9783"/>
    <cellStyle name="Normal 2 5 2 2 3 2 5" xfId="4885"/>
    <cellStyle name="Normal 2 5 2 2 3 2 6" xfId="8540"/>
    <cellStyle name="Normal 2 5 2 2 3 3" xfId="1329"/>
    <cellStyle name="Normal 2 5 2 2 3 3 2" xfId="2555"/>
    <cellStyle name="Normal 2 5 2 2 3 3 2 2" xfId="6415"/>
    <cellStyle name="Normal 2 5 2 2 3 3 2 3" xfId="11367"/>
    <cellStyle name="Normal 2 5 2 2 3 3 3" xfId="3783"/>
    <cellStyle name="Normal 2 5 2 2 3 3 3 2" xfId="7639"/>
    <cellStyle name="Normal 2 5 2 2 3 3 3 3" xfId="10125"/>
    <cellStyle name="Normal 2 5 2 2 3 3 4" xfId="5191"/>
    <cellStyle name="Normal 2 5 2 2 3 3 5" xfId="8883"/>
    <cellStyle name="Normal 2 5 2 2 3 4" xfId="1943"/>
    <cellStyle name="Normal 2 5 2 2 3 4 2" xfId="5803"/>
    <cellStyle name="Normal 2 5 2 2 3 4 3" xfId="10737"/>
    <cellStyle name="Normal 2 5 2 2 3 5" xfId="3170"/>
    <cellStyle name="Normal 2 5 2 2 3 5 2" xfId="7027"/>
    <cellStyle name="Normal 2 5 2 2 3 5 3" xfId="11943"/>
    <cellStyle name="Normal 2 5 2 2 3 6" xfId="4579"/>
    <cellStyle name="Normal 2 5 2 2 3 6 2" xfId="9495"/>
    <cellStyle name="Normal 2 5 2 2 3 7" xfId="8252"/>
    <cellStyle name="Normal 2 5 2 2 4" xfId="930"/>
    <cellStyle name="Normal 2 5 2 2 4 2" xfId="1545"/>
    <cellStyle name="Normal 2 5 2 2 4 2 2" xfId="2771"/>
    <cellStyle name="Normal 2 5 2 2 4 2 2 2" xfId="6631"/>
    <cellStyle name="Normal 2 5 2 2 4 2 2 3" xfId="11583"/>
    <cellStyle name="Normal 2 5 2 2 4 2 3" xfId="3999"/>
    <cellStyle name="Normal 2 5 2 2 4 2 3 2" xfId="7855"/>
    <cellStyle name="Normal 2 5 2 2 4 2 3 3" xfId="10341"/>
    <cellStyle name="Normal 2 5 2 2 4 2 4" xfId="5407"/>
    <cellStyle name="Normal 2 5 2 2 4 2 5" xfId="9099"/>
    <cellStyle name="Normal 2 5 2 2 4 3" xfId="2159"/>
    <cellStyle name="Normal 2 5 2 2 4 3 2" xfId="6019"/>
    <cellStyle name="Normal 2 5 2 2 4 3 3" xfId="10935"/>
    <cellStyle name="Normal 2 5 2 2 4 4" xfId="3387"/>
    <cellStyle name="Normal 2 5 2 2 4 4 2" xfId="7243"/>
    <cellStyle name="Normal 2 5 2 2 4 4 3" xfId="9693"/>
    <cellStyle name="Normal 2 5 2 2 4 5" xfId="4795"/>
    <cellStyle name="Normal 2 5 2 2 4 6" xfId="8450"/>
    <cellStyle name="Normal 2 5 2 2 5" xfId="1239"/>
    <cellStyle name="Normal 2 5 2 2 5 2" xfId="2465"/>
    <cellStyle name="Normal 2 5 2 2 5 2 2" xfId="6325"/>
    <cellStyle name="Normal 2 5 2 2 5 2 3" xfId="11277"/>
    <cellStyle name="Normal 2 5 2 2 5 3" xfId="3693"/>
    <cellStyle name="Normal 2 5 2 2 5 3 2" xfId="7549"/>
    <cellStyle name="Normal 2 5 2 2 5 3 3" xfId="10035"/>
    <cellStyle name="Normal 2 5 2 2 5 4" xfId="5101"/>
    <cellStyle name="Normal 2 5 2 2 5 5" xfId="8793"/>
    <cellStyle name="Normal 2 5 2 2 6" xfId="1853"/>
    <cellStyle name="Normal 2 5 2 2 6 2" xfId="5713"/>
    <cellStyle name="Normal 2 5 2 2 6 3" xfId="10647"/>
    <cellStyle name="Normal 2 5 2 2 7" xfId="3080"/>
    <cellStyle name="Normal 2 5 2 2 7 2" xfId="6937"/>
    <cellStyle name="Normal 2 5 2 2 7 3" xfId="11853"/>
    <cellStyle name="Normal 2 5 2 2 8" xfId="4489"/>
    <cellStyle name="Normal 2 5 2 2 8 2" xfId="9405"/>
    <cellStyle name="Normal 2 5 2 2 9" xfId="8162"/>
    <cellStyle name="Normal 2 5 2 3" xfId="725"/>
    <cellStyle name="Normal 2 5 2 3 2" xfId="1075"/>
    <cellStyle name="Normal 2 5 2 3 2 2" xfId="1689"/>
    <cellStyle name="Normal 2 5 2 3 2 2 2" xfId="2915"/>
    <cellStyle name="Normal 2 5 2 3 2 2 2 2" xfId="6775"/>
    <cellStyle name="Normal 2 5 2 3 2 2 2 3" xfId="11727"/>
    <cellStyle name="Normal 2 5 2 3 2 2 3" xfId="4143"/>
    <cellStyle name="Normal 2 5 2 3 2 2 3 2" xfId="7999"/>
    <cellStyle name="Normal 2 5 2 3 2 2 3 3" xfId="10485"/>
    <cellStyle name="Normal 2 5 2 3 2 2 4" xfId="5551"/>
    <cellStyle name="Normal 2 5 2 3 2 2 5" xfId="9243"/>
    <cellStyle name="Normal 2 5 2 3 2 3" xfId="2303"/>
    <cellStyle name="Normal 2 5 2 3 2 3 2" xfId="6163"/>
    <cellStyle name="Normal 2 5 2 3 2 3 3" xfId="11079"/>
    <cellStyle name="Normal 2 5 2 3 2 4" xfId="3531"/>
    <cellStyle name="Normal 2 5 2 3 2 4 2" xfId="7387"/>
    <cellStyle name="Normal 2 5 2 3 2 4 3" xfId="9837"/>
    <cellStyle name="Normal 2 5 2 3 2 5" xfId="4939"/>
    <cellStyle name="Normal 2 5 2 3 2 6" xfId="8594"/>
    <cellStyle name="Normal 2 5 2 3 3" xfId="1383"/>
    <cellStyle name="Normal 2 5 2 3 3 2" xfId="2609"/>
    <cellStyle name="Normal 2 5 2 3 3 2 2" xfId="6469"/>
    <cellStyle name="Normal 2 5 2 3 3 2 3" xfId="11421"/>
    <cellStyle name="Normal 2 5 2 3 3 3" xfId="3837"/>
    <cellStyle name="Normal 2 5 2 3 3 3 2" xfId="7693"/>
    <cellStyle name="Normal 2 5 2 3 3 3 3" xfId="10179"/>
    <cellStyle name="Normal 2 5 2 3 3 4" xfId="5245"/>
    <cellStyle name="Normal 2 5 2 3 3 5" xfId="8937"/>
    <cellStyle name="Normal 2 5 2 3 4" xfId="1997"/>
    <cellStyle name="Normal 2 5 2 3 4 2" xfId="5857"/>
    <cellStyle name="Normal 2 5 2 3 4 3" xfId="10791"/>
    <cellStyle name="Normal 2 5 2 3 5" xfId="3224"/>
    <cellStyle name="Normal 2 5 2 3 5 2" xfId="7081"/>
    <cellStyle name="Normal 2 5 2 3 5 3" xfId="11997"/>
    <cellStyle name="Normal 2 5 2 3 6" xfId="4633"/>
    <cellStyle name="Normal 2 5 2 3 6 2" xfId="9549"/>
    <cellStyle name="Normal 2 5 2 3 7" xfId="8306"/>
    <cellStyle name="Normal 2 5 2 4" xfId="635"/>
    <cellStyle name="Normal 2 5 2 4 2" xfId="985"/>
    <cellStyle name="Normal 2 5 2 4 2 2" xfId="1599"/>
    <cellStyle name="Normal 2 5 2 4 2 2 2" xfId="2825"/>
    <cellStyle name="Normal 2 5 2 4 2 2 2 2" xfId="6685"/>
    <cellStyle name="Normal 2 5 2 4 2 2 2 3" xfId="11637"/>
    <cellStyle name="Normal 2 5 2 4 2 2 3" xfId="4053"/>
    <cellStyle name="Normal 2 5 2 4 2 2 3 2" xfId="7909"/>
    <cellStyle name="Normal 2 5 2 4 2 2 3 3" xfId="10395"/>
    <cellStyle name="Normal 2 5 2 4 2 2 4" xfId="5461"/>
    <cellStyle name="Normal 2 5 2 4 2 2 5" xfId="9153"/>
    <cellStyle name="Normal 2 5 2 4 2 3" xfId="2213"/>
    <cellStyle name="Normal 2 5 2 4 2 3 2" xfId="6073"/>
    <cellStyle name="Normal 2 5 2 4 2 3 3" xfId="10989"/>
    <cellStyle name="Normal 2 5 2 4 2 4" xfId="3441"/>
    <cellStyle name="Normal 2 5 2 4 2 4 2" xfId="7297"/>
    <cellStyle name="Normal 2 5 2 4 2 4 3" xfId="9747"/>
    <cellStyle name="Normal 2 5 2 4 2 5" xfId="4849"/>
    <cellStyle name="Normal 2 5 2 4 2 6" xfId="8504"/>
    <cellStyle name="Normal 2 5 2 4 3" xfId="1293"/>
    <cellStyle name="Normal 2 5 2 4 3 2" xfId="2519"/>
    <cellStyle name="Normal 2 5 2 4 3 2 2" xfId="6379"/>
    <cellStyle name="Normal 2 5 2 4 3 2 3" xfId="11331"/>
    <cellStyle name="Normal 2 5 2 4 3 3" xfId="3747"/>
    <cellStyle name="Normal 2 5 2 4 3 3 2" xfId="7603"/>
    <cellStyle name="Normal 2 5 2 4 3 3 3" xfId="10089"/>
    <cellStyle name="Normal 2 5 2 4 3 4" xfId="5155"/>
    <cellStyle name="Normal 2 5 2 4 3 5" xfId="8847"/>
    <cellStyle name="Normal 2 5 2 4 4" xfId="1907"/>
    <cellStyle name="Normal 2 5 2 4 4 2" xfId="5767"/>
    <cellStyle name="Normal 2 5 2 4 4 3" xfId="10701"/>
    <cellStyle name="Normal 2 5 2 4 5" xfId="3134"/>
    <cellStyle name="Normal 2 5 2 4 5 2" xfId="6991"/>
    <cellStyle name="Normal 2 5 2 4 5 3" xfId="11907"/>
    <cellStyle name="Normal 2 5 2 4 6" xfId="4543"/>
    <cellStyle name="Normal 2 5 2 4 6 2" xfId="9459"/>
    <cellStyle name="Normal 2 5 2 4 7" xfId="8216"/>
    <cellStyle name="Normal 2 5 2 5" xfId="541"/>
    <cellStyle name="Normal 2 5 2 5 2" xfId="891"/>
    <cellStyle name="Normal 2 5 2 5 2 2" xfId="1509"/>
    <cellStyle name="Normal 2 5 2 5 2 2 2" xfId="2735"/>
    <cellStyle name="Normal 2 5 2 5 2 2 2 2" xfId="6595"/>
    <cellStyle name="Normal 2 5 2 5 2 2 2 3" xfId="11547"/>
    <cellStyle name="Normal 2 5 2 5 2 2 3" xfId="3963"/>
    <cellStyle name="Normal 2 5 2 5 2 2 3 2" xfId="7819"/>
    <cellStyle name="Normal 2 5 2 5 2 2 3 3" xfId="10305"/>
    <cellStyle name="Normal 2 5 2 5 2 2 4" xfId="5371"/>
    <cellStyle name="Normal 2 5 2 5 2 2 5" xfId="9063"/>
    <cellStyle name="Normal 2 5 2 5 2 3" xfId="2123"/>
    <cellStyle name="Normal 2 5 2 5 2 3 2" xfId="5983"/>
    <cellStyle name="Normal 2 5 2 5 2 3 3" xfId="11151"/>
    <cellStyle name="Normal 2 5 2 5 2 4" xfId="3351"/>
    <cellStyle name="Normal 2 5 2 5 2 4 2" xfId="7207"/>
    <cellStyle name="Normal 2 5 2 5 2 4 3" xfId="9909"/>
    <cellStyle name="Normal 2 5 2 5 2 5" xfId="4759"/>
    <cellStyle name="Normal 2 5 2 5 2 6" xfId="8667"/>
    <cellStyle name="Normal 2 5 2 5 3" xfId="1203"/>
    <cellStyle name="Normal 2 5 2 5 3 2" xfId="2429"/>
    <cellStyle name="Normal 2 5 2 5 3 2 2" xfId="6289"/>
    <cellStyle name="Normal 2 5 2 5 3 2 3" xfId="11241"/>
    <cellStyle name="Normal 2 5 2 5 3 3" xfId="3657"/>
    <cellStyle name="Normal 2 5 2 5 3 3 2" xfId="7513"/>
    <cellStyle name="Normal 2 5 2 5 3 3 3" xfId="9999"/>
    <cellStyle name="Normal 2 5 2 5 3 4" xfId="5065"/>
    <cellStyle name="Normal 2 5 2 5 3 5" xfId="8757"/>
    <cellStyle name="Normal 2 5 2 5 4" xfId="1817"/>
    <cellStyle name="Normal 2 5 2 5 4 2" xfId="5677"/>
    <cellStyle name="Normal 2 5 2 5 4 2 2" xfId="11133"/>
    <cellStyle name="Normal 2 5 2 5 4 3" xfId="9891"/>
    <cellStyle name="Normal 2 5 2 5 4 4" xfId="8648"/>
    <cellStyle name="Normal 2 5 2 5 5" xfId="3044"/>
    <cellStyle name="Normal 2 5 2 5 5 2" xfId="6901"/>
    <cellStyle name="Normal 2 5 2 5 5 3" xfId="10611"/>
    <cellStyle name="Normal 2 5 2 5 6" xfId="4453"/>
    <cellStyle name="Normal 2 5 2 5 6 2" xfId="9369"/>
    <cellStyle name="Normal 2 5 2 5 7" xfId="8126"/>
    <cellStyle name="Normal 2 5 2 6" xfId="817"/>
    <cellStyle name="Normal 2 5 2 6 2" xfId="1455"/>
    <cellStyle name="Normal 2 5 2 6 2 2" xfId="2681"/>
    <cellStyle name="Normal 2 5 2 6 2 2 2" xfId="6541"/>
    <cellStyle name="Normal 2 5 2 6 2 2 3" xfId="11493"/>
    <cellStyle name="Normal 2 5 2 6 2 3" xfId="3909"/>
    <cellStyle name="Normal 2 5 2 6 2 3 2" xfId="7765"/>
    <cellStyle name="Normal 2 5 2 6 2 3 3" xfId="10251"/>
    <cellStyle name="Normal 2 5 2 6 2 4" xfId="5317"/>
    <cellStyle name="Normal 2 5 2 6 2 5" xfId="9009"/>
    <cellStyle name="Normal 2 5 2 6 3" xfId="2069"/>
    <cellStyle name="Normal 2 5 2 6 3 2" xfId="5929"/>
    <cellStyle name="Normal 2 5 2 6 3 3" xfId="10899"/>
    <cellStyle name="Normal 2 5 2 6 4" xfId="3297"/>
    <cellStyle name="Normal 2 5 2 6 4 2" xfId="7153"/>
    <cellStyle name="Normal 2 5 2 6 4 3" xfId="9657"/>
    <cellStyle name="Normal 2 5 2 6 5" xfId="4705"/>
    <cellStyle name="Normal 2 5 2 6 6" xfId="8414"/>
    <cellStyle name="Normal 2 5 2 7" xfId="1149"/>
    <cellStyle name="Normal 2 5 2 7 2" xfId="2375"/>
    <cellStyle name="Normal 2 5 2 7 2 2" xfId="6235"/>
    <cellStyle name="Normal 2 5 2 7 2 3" xfId="11187"/>
    <cellStyle name="Normal 2 5 2 7 3" xfId="3603"/>
    <cellStyle name="Normal 2 5 2 7 3 2" xfId="7459"/>
    <cellStyle name="Normal 2 5 2 7 3 3" xfId="9945"/>
    <cellStyle name="Normal 2 5 2 7 4" xfId="5011"/>
    <cellStyle name="Normal 2 5 2 7 5" xfId="8703"/>
    <cellStyle name="Normal 2 5 2 8" xfId="1763"/>
    <cellStyle name="Normal 2 5 2 8 2" xfId="5623"/>
    <cellStyle name="Normal 2 5 2 8 3" xfId="10557"/>
    <cellStyle name="Normal 2 5 2 9" xfId="2990"/>
    <cellStyle name="Normal 2 5 2 9 2" xfId="6847"/>
    <cellStyle name="Normal 2 5 2 9 3" xfId="11817"/>
    <cellStyle name="Normal 2 5 3" xfId="562"/>
    <cellStyle name="Normal 2 5 3 2" xfId="743"/>
    <cellStyle name="Normal 2 5 3 2 2" xfId="1093"/>
    <cellStyle name="Normal 2 5 3 2 2 2" xfId="1707"/>
    <cellStyle name="Normal 2 5 3 2 2 2 2" xfId="2933"/>
    <cellStyle name="Normal 2 5 3 2 2 2 2 2" xfId="6793"/>
    <cellStyle name="Normal 2 5 3 2 2 2 2 3" xfId="11745"/>
    <cellStyle name="Normal 2 5 3 2 2 2 3" xfId="4161"/>
    <cellStyle name="Normal 2 5 3 2 2 2 3 2" xfId="8017"/>
    <cellStyle name="Normal 2 5 3 2 2 2 3 3" xfId="10503"/>
    <cellStyle name="Normal 2 5 3 2 2 2 4" xfId="5569"/>
    <cellStyle name="Normal 2 5 3 2 2 2 5" xfId="9261"/>
    <cellStyle name="Normal 2 5 3 2 2 3" xfId="2321"/>
    <cellStyle name="Normal 2 5 3 2 2 3 2" xfId="6181"/>
    <cellStyle name="Normal 2 5 3 2 2 3 3" xfId="11097"/>
    <cellStyle name="Normal 2 5 3 2 2 4" xfId="3549"/>
    <cellStyle name="Normal 2 5 3 2 2 4 2" xfId="7405"/>
    <cellStyle name="Normal 2 5 3 2 2 4 3" xfId="9855"/>
    <cellStyle name="Normal 2 5 3 2 2 5" xfId="4957"/>
    <cellStyle name="Normal 2 5 3 2 2 6" xfId="8612"/>
    <cellStyle name="Normal 2 5 3 2 3" xfId="1401"/>
    <cellStyle name="Normal 2 5 3 2 3 2" xfId="2627"/>
    <cellStyle name="Normal 2 5 3 2 3 2 2" xfId="6487"/>
    <cellStyle name="Normal 2 5 3 2 3 2 3" xfId="11439"/>
    <cellStyle name="Normal 2 5 3 2 3 3" xfId="3855"/>
    <cellStyle name="Normal 2 5 3 2 3 3 2" xfId="7711"/>
    <cellStyle name="Normal 2 5 3 2 3 3 3" xfId="10197"/>
    <cellStyle name="Normal 2 5 3 2 3 4" xfId="5263"/>
    <cellStyle name="Normal 2 5 3 2 3 5" xfId="8955"/>
    <cellStyle name="Normal 2 5 3 2 4" xfId="2015"/>
    <cellStyle name="Normal 2 5 3 2 4 2" xfId="5875"/>
    <cellStyle name="Normal 2 5 3 2 4 3" xfId="10809"/>
    <cellStyle name="Normal 2 5 3 2 5" xfId="3242"/>
    <cellStyle name="Normal 2 5 3 2 5 2" xfId="7099"/>
    <cellStyle name="Normal 2 5 3 2 5 3" xfId="12015"/>
    <cellStyle name="Normal 2 5 3 2 6" xfId="4651"/>
    <cellStyle name="Normal 2 5 3 2 6 2" xfId="9567"/>
    <cellStyle name="Normal 2 5 3 2 7" xfId="8324"/>
    <cellStyle name="Normal 2 5 3 3" xfId="653"/>
    <cellStyle name="Normal 2 5 3 3 2" xfId="1003"/>
    <cellStyle name="Normal 2 5 3 3 2 2" xfId="1617"/>
    <cellStyle name="Normal 2 5 3 3 2 2 2" xfId="2843"/>
    <cellStyle name="Normal 2 5 3 3 2 2 2 2" xfId="6703"/>
    <cellStyle name="Normal 2 5 3 3 2 2 2 3" xfId="11655"/>
    <cellStyle name="Normal 2 5 3 3 2 2 3" xfId="4071"/>
    <cellStyle name="Normal 2 5 3 3 2 2 3 2" xfId="7927"/>
    <cellStyle name="Normal 2 5 3 3 2 2 3 3" xfId="10413"/>
    <cellStyle name="Normal 2 5 3 3 2 2 4" xfId="5479"/>
    <cellStyle name="Normal 2 5 3 3 2 2 5" xfId="9171"/>
    <cellStyle name="Normal 2 5 3 3 2 3" xfId="2231"/>
    <cellStyle name="Normal 2 5 3 3 2 3 2" xfId="6091"/>
    <cellStyle name="Normal 2 5 3 3 2 3 3" xfId="11007"/>
    <cellStyle name="Normal 2 5 3 3 2 4" xfId="3459"/>
    <cellStyle name="Normal 2 5 3 3 2 4 2" xfId="7315"/>
    <cellStyle name="Normal 2 5 3 3 2 4 3" xfId="9765"/>
    <cellStyle name="Normal 2 5 3 3 2 5" xfId="4867"/>
    <cellStyle name="Normal 2 5 3 3 2 6" xfId="8522"/>
    <cellStyle name="Normal 2 5 3 3 3" xfId="1311"/>
    <cellStyle name="Normal 2 5 3 3 3 2" xfId="2537"/>
    <cellStyle name="Normal 2 5 3 3 3 2 2" xfId="6397"/>
    <cellStyle name="Normal 2 5 3 3 3 2 3" xfId="11349"/>
    <cellStyle name="Normal 2 5 3 3 3 3" xfId="3765"/>
    <cellStyle name="Normal 2 5 3 3 3 3 2" xfId="7621"/>
    <cellStyle name="Normal 2 5 3 3 3 3 3" xfId="10107"/>
    <cellStyle name="Normal 2 5 3 3 3 4" xfId="5173"/>
    <cellStyle name="Normal 2 5 3 3 3 5" xfId="8865"/>
    <cellStyle name="Normal 2 5 3 3 4" xfId="1925"/>
    <cellStyle name="Normal 2 5 3 3 4 2" xfId="5785"/>
    <cellStyle name="Normal 2 5 3 3 4 3" xfId="10719"/>
    <cellStyle name="Normal 2 5 3 3 5" xfId="3152"/>
    <cellStyle name="Normal 2 5 3 3 5 2" xfId="7009"/>
    <cellStyle name="Normal 2 5 3 3 5 3" xfId="11925"/>
    <cellStyle name="Normal 2 5 3 3 6" xfId="4561"/>
    <cellStyle name="Normal 2 5 3 3 6 2" xfId="9477"/>
    <cellStyle name="Normal 2 5 3 3 7" xfId="8234"/>
    <cellStyle name="Normal 2 5 3 4" xfId="912"/>
    <cellStyle name="Normal 2 5 3 4 2" xfId="1527"/>
    <cellStyle name="Normal 2 5 3 4 2 2" xfId="2753"/>
    <cellStyle name="Normal 2 5 3 4 2 2 2" xfId="6613"/>
    <cellStyle name="Normal 2 5 3 4 2 2 3" xfId="11565"/>
    <cellStyle name="Normal 2 5 3 4 2 3" xfId="3981"/>
    <cellStyle name="Normal 2 5 3 4 2 3 2" xfId="7837"/>
    <cellStyle name="Normal 2 5 3 4 2 3 3" xfId="10323"/>
    <cellStyle name="Normal 2 5 3 4 2 4" xfId="5389"/>
    <cellStyle name="Normal 2 5 3 4 2 5" xfId="9081"/>
    <cellStyle name="Normal 2 5 3 4 3" xfId="2141"/>
    <cellStyle name="Normal 2 5 3 4 3 2" xfId="6001"/>
    <cellStyle name="Normal 2 5 3 4 3 3" xfId="10917"/>
    <cellStyle name="Normal 2 5 3 4 4" xfId="3369"/>
    <cellStyle name="Normal 2 5 3 4 4 2" xfId="7225"/>
    <cellStyle name="Normal 2 5 3 4 4 3" xfId="9675"/>
    <cellStyle name="Normal 2 5 3 4 5" xfId="4777"/>
    <cellStyle name="Normal 2 5 3 4 6" xfId="8432"/>
    <cellStyle name="Normal 2 5 3 5" xfId="1221"/>
    <cellStyle name="Normal 2 5 3 5 2" xfId="2447"/>
    <cellStyle name="Normal 2 5 3 5 2 2" xfId="6307"/>
    <cellStyle name="Normal 2 5 3 5 2 3" xfId="11259"/>
    <cellStyle name="Normal 2 5 3 5 3" xfId="3675"/>
    <cellStyle name="Normal 2 5 3 5 3 2" xfId="7531"/>
    <cellStyle name="Normal 2 5 3 5 3 3" xfId="10017"/>
    <cellStyle name="Normal 2 5 3 5 4" xfId="5083"/>
    <cellStyle name="Normal 2 5 3 5 5" xfId="8775"/>
    <cellStyle name="Normal 2 5 3 6" xfId="1835"/>
    <cellStyle name="Normal 2 5 3 6 2" xfId="5695"/>
    <cellStyle name="Normal 2 5 3 6 3" xfId="10629"/>
    <cellStyle name="Normal 2 5 3 7" xfId="3062"/>
    <cellStyle name="Normal 2 5 3 7 2" xfId="6919"/>
    <cellStyle name="Normal 2 5 3 7 3" xfId="11835"/>
    <cellStyle name="Normal 2 5 3 8" xfId="4471"/>
    <cellStyle name="Normal 2 5 3 8 2" xfId="9387"/>
    <cellStyle name="Normal 2 5 3 9" xfId="8144"/>
    <cellStyle name="Normal 2 5 4" xfId="505"/>
    <cellStyle name="Normal 2 5 4 2" xfId="707"/>
    <cellStyle name="Normal 2 5 4 2 2" xfId="1057"/>
    <cellStyle name="Normal 2 5 4 2 2 2" xfId="1671"/>
    <cellStyle name="Normal 2 5 4 2 2 2 2" xfId="2897"/>
    <cellStyle name="Normal 2 5 4 2 2 2 2 2" xfId="6757"/>
    <cellStyle name="Normal 2 5 4 2 2 2 2 3" xfId="11709"/>
    <cellStyle name="Normal 2 5 4 2 2 2 3" xfId="4125"/>
    <cellStyle name="Normal 2 5 4 2 2 2 3 2" xfId="7981"/>
    <cellStyle name="Normal 2 5 4 2 2 2 3 3" xfId="10467"/>
    <cellStyle name="Normal 2 5 4 2 2 2 4" xfId="5533"/>
    <cellStyle name="Normal 2 5 4 2 2 2 5" xfId="9225"/>
    <cellStyle name="Normal 2 5 4 2 2 3" xfId="2285"/>
    <cellStyle name="Normal 2 5 4 2 2 3 2" xfId="6145"/>
    <cellStyle name="Normal 2 5 4 2 2 3 3" xfId="11061"/>
    <cellStyle name="Normal 2 5 4 2 2 4" xfId="3513"/>
    <cellStyle name="Normal 2 5 4 2 2 4 2" xfId="7369"/>
    <cellStyle name="Normal 2 5 4 2 2 4 3" xfId="9819"/>
    <cellStyle name="Normal 2 5 4 2 2 5" xfId="4921"/>
    <cellStyle name="Normal 2 5 4 2 2 6" xfId="8576"/>
    <cellStyle name="Normal 2 5 4 2 3" xfId="1365"/>
    <cellStyle name="Normal 2 5 4 2 3 2" xfId="2591"/>
    <cellStyle name="Normal 2 5 4 2 3 2 2" xfId="6451"/>
    <cellStyle name="Normal 2 5 4 2 3 2 3" xfId="11403"/>
    <cellStyle name="Normal 2 5 4 2 3 3" xfId="3819"/>
    <cellStyle name="Normal 2 5 4 2 3 3 2" xfId="7675"/>
    <cellStyle name="Normal 2 5 4 2 3 3 3" xfId="10161"/>
    <cellStyle name="Normal 2 5 4 2 3 4" xfId="5227"/>
    <cellStyle name="Normal 2 5 4 2 3 5" xfId="8919"/>
    <cellStyle name="Normal 2 5 4 2 4" xfId="1979"/>
    <cellStyle name="Normal 2 5 4 2 4 2" xfId="5839"/>
    <cellStyle name="Normal 2 5 4 2 4 3" xfId="10773"/>
    <cellStyle name="Normal 2 5 4 2 5" xfId="3206"/>
    <cellStyle name="Normal 2 5 4 2 5 2" xfId="7063"/>
    <cellStyle name="Normal 2 5 4 2 5 3" xfId="11979"/>
    <cellStyle name="Normal 2 5 4 2 6" xfId="4615"/>
    <cellStyle name="Normal 2 5 4 2 6 2" xfId="9531"/>
    <cellStyle name="Normal 2 5 4 2 7" xfId="8288"/>
    <cellStyle name="Normal 2 5 4 3" xfId="617"/>
    <cellStyle name="Normal 2 5 4 3 2" xfId="967"/>
    <cellStyle name="Normal 2 5 4 3 2 2" xfId="1581"/>
    <cellStyle name="Normal 2 5 4 3 2 2 2" xfId="2807"/>
    <cellStyle name="Normal 2 5 4 3 2 2 2 2" xfId="6667"/>
    <cellStyle name="Normal 2 5 4 3 2 2 2 3" xfId="11619"/>
    <cellStyle name="Normal 2 5 4 3 2 2 3" xfId="4035"/>
    <cellStyle name="Normal 2 5 4 3 2 2 3 2" xfId="7891"/>
    <cellStyle name="Normal 2 5 4 3 2 2 3 3" xfId="10377"/>
    <cellStyle name="Normal 2 5 4 3 2 2 4" xfId="5443"/>
    <cellStyle name="Normal 2 5 4 3 2 2 5" xfId="9135"/>
    <cellStyle name="Normal 2 5 4 3 2 3" xfId="2195"/>
    <cellStyle name="Normal 2 5 4 3 2 3 2" xfId="6055"/>
    <cellStyle name="Normal 2 5 4 3 2 3 3" xfId="10971"/>
    <cellStyle name="Normal 2 5 4 3 2 4" xfId="3423"/>
    <cellStyle name="Normal 2 5 4 3 2 4 2" xfId="7279"/>
    <cellStyle name="Normal 2 5 4 3 2 4 3" xfId="9729"/>
    <cellStyle name="Normal 2 5 4 3 2 5" xfId="4831"/>
    <cellStyle name="Normal 2 5 4 3 2 6" xfId="8486"/>
    <cellStyle name="Normal 2 5 4 3 3" xfId="1275"/>
    <cellStyle name="Normal 2 5 4 3 3 2" xfId="2501"/>
    <cellStyle name="Normal 2 5 4 3 3 2 2" xfId="6361"/>
    <cellStyle name="Normal 2 5 4 3 3 2 3" xfId="11313"/>
    <cellStyle name="Normal 2 5 4 3 3 3" xfId="3729"/>
    <cellStyle name="Normal 2 5 4 3 3 3 2" xfId="7585"/>
    <cellStyle name="Normal 2 5 4 3 3 3 3" xfId="10071"/>
    <cellStyle name="Normal 2 5 4 3 3 4" xfId="5137"/>
    <cellStyle name="Normal 2 5 4 3 3 5" xfId="8829"/>
    <cellStyle name="Normal 2 5 4 3 4" xfId="1889"/>
    <cellStyle name="Normal 2 5 4 3 4 2" xfId="5749"/>
    <cellStyle name="Normal 2 5 4 3 4 3" xfId="10683"/>
    <cellStyle name="Normal 2 5 4 3 5" xfId="3116"/>
    <cellStyle name="Normal 2 5 4 3 5 2" xfId="6973"/>
    <cellStyle name="Normal 2 5 4 3 5 3" xfId="11889"/>
    <cellStyle name="Normal 2 5 4 3 6" xfId="4525"/>
    <cellStyle name="Normal 2 5 4 3 6 2" xfId="9441"/>
    <cellStyle name="Normal 2 5 4 3 7" xfId="8198"/>
    <cellStyle name="Normal 2 5 4 4" xfId="855"/>
    <cellStyle name="Normal 2 5 4 4 2" xfId="1491"/>
    <cellStyle name="Normal 2 5 4 4 2 2" xfId="2717"/>
    <cellStyle name="Normal 2 5 4 4 2 2 2" xfId="6577"/>
    <cellStyle name="Normal 2 5 4 4 2 2 3" xfId="11529"/>
    <cellStyle name="Normal 2 5 4 4 2 3" xfId="3945"/>
    <cellStyle name="Normal 2 5 4 4 2 3 2" xfId="7801"/>
    <cellStyle name="Normal 2 5 4 4 2 3 3" xfId="10287"/>
    <cellStyle name="Normal 2 5 4 4 2 4" xfId="5353"/>
    <cellStyle name="Normal 2 5 4 4 2 5" xfId="9045"/>
    <cellStyle name="Normal 2 5 4 4 3" xfId="2105"/>
    <cellStyle name="Normal 2 5 4 4 3 2" xfId="5965"/>
    <cellStyle name="Normal 2 5 4 4 3 3" xfId="10881"/>
    <cellStyle name="Normal 2 5 4 4 4" xfId="3333"/>
    <cellStyle name="Normal 2 5 4 4 4 2" xfId="7189"/>
    <cellStyle name="Normal 2 5 4 4 4 3" xfId="9639"/>
    <cellStyle name="Normal 2 5 4 4 5" xfId="4741"/>
    <cellStyle name="Normal 2 5 4 4 6" xfId="8396"/>
    <cellStyle name="Normal 2 5 4 5" xfId="1185"/>
    <cellStyle name="Normal 2 5 4 5 2" xfId="2411"/>
    <cellStyle name="Normal 2 5 4 5 2 2" xfId="6271"/>
    <cellStyle name="Normal 2 5 4 5 2 3" xfId="11223"/>
    <cellStyle name="Normal 2 5 4 5 3" xfId="3639"/>
    <cellStyle name="Normal 2 5 4 5 3 2" xfId="7495"/>
    <cellStyle name="Normal 2 5 4 5 3 3" xfId="9981"/>
    <cellStyle name="Normal 2 5 4 5 4" xfId="5047"/>
    <cellStyle name="Normal 2 5 4 5 5" xfId="8739"/>
    <cellStyle name="Normal 2 5 4 6" xfId="1799"/>
    <cellStyle name="Normal 2 5 4 6 2" xfId="5659"/>
    <cellStyle name="Normal 2 5 4 6 3" xfId="10593"/>
    <cellStyle name="Normal 2 5 4 7" xfId="3026"/>
    <cellStyle name="Normal 2 5 4 7 2" xfId="6883"/>
    <cellStyle name="Normal 2 5 4 7 3" xfId="11799"/>
    <cellStyle name="Normal 2 5 4 8" xfId="4435"/>
    <cellStyle name="Normal 2 5 4 8 2" xfId="9351"/>
    <cellStyle name="Normal 2 5 4 9" xfId="8108"/>
    <cellStyle name="Normal 2 5 5" xfId="689"/>
    <cellStyle name="Normal 2 5 5 2" xfId="1039"/>
    <cellStyle name="Normal 2 5 5 2 2" xfId="1653"/>
    <cellStyle name="Normal 2 5 5 2 2 2" xfId="2879"/>
    <cellStyle name="Normal 2 5 5 2 2 2 2" xfId="6739"/>
    <cellStyle name="Normal 2 5 5 2 2 2 3" xfId="11691"/>
    <cellStyle name="Normal 2 5 5 2 2 3" xfId="4107"/>
    <cellStyle name="Normal 2 5 5 2 2 3 2" xfId="7963"/>
    <cellStyle name="Normal 2 5 5 2 2 3 3" xfId="10449"/>
    <cellStyle name="Normal 2 5 5 2 2 4" xfId="5515"/>
    <cellStyle name="Normal 2 5 5 2 2 5" xfId="9207"/>
    <cellStyle name="Normal 2 5 5 2 3" xfId="2267"/>
    <cellStyle name="Normal 2 5 5 2 3 2" xfId="6127"/>
    <cellStyle name="Normal 2 5 5 2 3 3" xfId="11043"/>
    <cellStyle name="Normal 2 5 5 2 4" xfId="3495"/>
    <cellStyle name="Normal 2 5 5 2 4 2" xfId="7351"/>
    <cellStyle name="Normal 2 5 5 2 4 3" xfId="9801"/>
    <cellStyle name="Normal 2 5 5 2 5" xfId="4903"/>
    <cellStyle name="Normal 2 5 5 2 6" xfId="8558"/>
    <cellStyle name="Normal 2 5 5 3" xfId="1347"/>
    <cellStyle name="Normal 2 5 5 3 2" xfId="2573"/>
    <cellStyle name="Normal 2 5 5 3 2 2" xfId="6433"/>
    <cellStyle name="Normal 2 5 5 3 2 3" xfId="11385"/>
    <cellStyle name="Normal 2 5 5 3 3" xfId="3801"/>
    <cellStyle name="Normal 2 5 5 3 3 2" xfId="7657"/>
    <cellStyle name="Normal 2 5 5 3 3 3" xfId="10143"/>
    <cellStyle name="Normal 2 5 5 3 4" xfId="5209"/>
    <cellStyle name="Normal 2 5 5 3 5" xfId="8901"/>
    <cellStyle name="Normal 2 5 5 4" xfId="1961"/>
    <cellStyle name="Normal 2 5 5 4 2" xfId="5821"/>
    <cellStyle name="Normal 2 5 5 4 3" xfId="10755"/>
    <cellStyle name="Normal 2 5 5 5" xfId="3188"/>
    <cellStyle name="Normal 2 5 5 5 2" xfId="7045"/>
    <cellStyle name="Normal 2 5 5 5 3" xfId="11961"/>
    <cellStyle name="Normal 2 5 5 6" xfId="4597"/>
    <cellStyle name="Normal 2 5 5 6 2" xfId="9513"/>
    <cellStyle name="Normal 2 5 5 7" xfId="8270"/>
    <cellStyle name="Normal 2 5 6" xfId="599"/>
    <cellStyle name="Normal 2 5 6 2" xfId="949"/>
    <cellStyle name="Normal 2 5 6 2 2" xfId="1563"/>
    <cellStyle name="Normal 2 5 6 2 2 2" xfId="2789"/>
    <cellStyle name="Normal 2 5 6 2 2 2 2" xfId="6649"/>
    <cellStyle name="Normal 2 5 6 2 2 2 3" xfId="11601"/>
    <cellStyle name="Normal 2 5 6 2 2 3" xfId="4017"/>
    <cellStyle name="Normal 2 5 6 2 2 3 2" xfId="7873"/>
    <cellStyle name="Normal 2 5 6 2 2 3 3" xfId="10359"/>
    <cellStyle name="Normal 2 5 6 2 2 4" xfId="5425"/>
    <cellStyle name="Normal 2 5 6 2 2 5" xfId="9117"/>
    <cellStyle name="Normal 2 5 6 2 3" xfId="2177"/>
    <cellStyle name="Normal 2 5 6 2 3 2" xfId="6037"/>
    <cellStyle name="Normal 2 5 6 2 3 3" xfId="10953"/>
    <cellStyle name="Normal 2 5 6 2 4" xfId="3405"/>
    <cellStyle name="Normal 2 5 6 2 4 2" xfId="7261"/>
    <cellStyle name="Normal 2 5 6 2 4 3" xfId="9711"/>
    <cellStyle name="Normal 2 5 6 2 5" xfId="4813"/>
    <cellStyle name="Normal 2 5 6 2 6" xfId="8468"/>
    <cellStyle name="Normal 2 5 6 3" xfId="1257"/>
    <cellStyle name="Normal 2 5 6 3 2" xfId="2483"/>
    <cellStyle name="Normal 2 5 6 3 2 2" xfId="6343"/>
    <cellStyle name="Normal 2 5 6 3 2 3" xfId="11295"/>
    <cellStyle name="Normal 2 5 6 3 3" xfId="3711"/>
    <cellStyle name="Normal 2 5 6 3 3 2" xfId="7567"/>
    <cellStyle name="Normal 2 5 6 3 3 3" xfId="10053"/>
    <cellStyle name="Normal 2 5 6 3 4" xfId="5119"/>
    <cellStyle name="Normal 2 5 6 3 5" xfId="8811"/>
    <cellStyle name="Normal 2 5 6 4" xfId="1871"/>
    <cellStyle name="Normal 2 5 6 4 2" xfId="5731"/>
    <cellStyle name="Normal 2 5 6 4 3" xfId="10665"/>
    <cellStyle name="Normal 2 5 6 5" xfId="3098"/>
    <cellStyle name="Normal 2 5 6 5 2" xfId="6955"/>
    <cellStyle name="Normal 2 5 6 5 3" xfId="11871"/>
    <cellStyle name="Normal 2 5 6 6" xfId="4507"/>
    <cellStyle name="Normal 2 5 6 6 2" xfId="9423"/>
    <cellStyle name="Normal 2 5 6 7" xfId="8180"/>
    <cellStyle name="Normal 2 5 7" xfId="485"/>
    <cellStyle name="Normal 2 5 7 2" xfId="835"/>
    <cellStyle name="Normal 2 5 7 2 2" xfId="1473"/>
    <cellStyle name="Normal 2 5 7 2 2 2" xfId="2699"/>
    <cellStyle name="Normal 2 5 7 2 2 2 2" xfId="6559"/>
    <cellStyle name="Normal 2 5 7 2 2 2 3" xfId="11511"/>
    <cellStyle name="Normal 2 5 7 2 2 3" xfId="3927"/>
    <cellStyle name="Normal 2 5 7 2 2 3 2" xfId="7783"/>
    <cellStyle name="Normal 2 5 7 2 2 3 3" xfId="10269"/>
    <cellStyle name="Normal 2 5 7 2 2 4" xfId="5335"/>
    <cellStyle name="Normal 2 5 7 2 2 5" xfId="9027"/>
    <cellStyle name="Normal 2 5 7 2 3" xfId="2087"/>
    <cellStyle name="Normal 2 5 7 2 3 2" xfId="5947"/>
    <cellStyle name="Normal 2 5 7 2 3 3" xfId="10863"/>
    <cellStyle name="Normal 2 5 7 2 4" xfId="3315"/>
    <cellStyle name="Normal 2 5 7 2 4 2" xfId="7171"/>
    <cellStyle name="Normal 2 5 7 2 4 3" xfId="9621"/>
    <cellStyle name="Normal 2 5 7 2 5" xfId="4723"/>
    <cellStyle name="Normal 2 5 7 2 6" xfId="8378"/>
    <cellStyle name="Normal 2 5 7 3" xfId="1167"/>
    <cellStyle name="Normal 2 5 7 3 2" xfId="2393"/>
    <cellStyle name="Normal 2 5 7 3 2 2" xfId="6253"/>
    <cellStyle name="Normal 2 5 7 3 2 3" xfId="11205"/>
    <cellStyle name="Normal 2 5 7 3 3" xfId="3621"/>
    <cellStyle name="Normal 2 5 7 3 3 2" xfId="7477"/>
    <cellStyle name="Normal 2 5 7 3 3 3" xfId="9963"/>
    <cellStyle name="Normal 2 5 7 3 4" xfId="5029"/>
    <cellStyle name="Normal 2 5 7 3 5" xfId="8721"/>
    <cellStyle name="Normal 2 5 7 4" xfId="1781"/>
    <cellStyle name="Normal 2 5 7 4 2" xfId="5641"/>
    <cellStyle name="Normal 2 5 7 4 3" xfId="10575"/>
    <cellStyle name="Normal 2 5 7 5" xfId="3008"/>
    <cellStyle name="Normal 2 5 7 5 2" xfId="6865"/>
    <cellStyle name="Normal 2 5 7 5 3" xfId="12051"/>
    <cellStyle name="Normal 2 5 7 6" xfId="4417"/>
    <cellStyle name="Normal 2 5 7 6 2" xfId="9333"/>
    <cellStyle name="Normal 2 5 7 7" xfId="8090"/>
    <cellStyle name="Normal 2 5 8" xfId="797"/>
    <cellStyle name="Normal 2 5 8 2" xfId="1437"/>
    <cellStyle name="Normal 2 5 8 2 2" xfId="2663"/>
    <cellStyle name="Normal 2 5 8 2 2 2" xfId="6523"/>
    <cellStyle name="Normal 2 5 8 2 2 3" xfId="11475"/>
    <cellStyle name="Normal 2 5 8 2 3" xfId="3891"/>
    <cellStyle name="Normal 2 5 8 2 3 2" xfId="7747"/>
    <cellStyle name="Normal 2 5 8 2 3 3" xfId="10233"/>
    <cellStyle name="Normal 2 5 8 2 4" xfId="5299"/>
    <cellStyle name="Normal 2 5 8 2 5" xfId="8991"/>
    <cellStyle name="Normal 2 5 8 3" xfId="2051"/>
    <cellStyle name="Normal 2 5 8 3 2" xfId="5911"/>
    <cellStyle name="Normal 2 5 8 3 3" xfId="10845"/>
    <cellStyle name="Normal 2 5 8 4" xfId="3279"/>
    <cellStyle name="Normal 2 5 8 4 2" xfId="7135"/>
    <cellStyle name="Normal 2 5 8 4 3" xfId="9603"/>
    <cellStyle name="Normal 2 5 8 5" xfId="4687"/>
    <cellStyle name="Normal 2 5 8 6" xfId="8360"/>
    <cellStyle name="Normal 2 5 9" xfId="1131"/>
    <cellStyle name="Normal 2 5 9 2" xfId="2357"/>
    <cellStyle name="Normal 2 5 9 2 2" xfId="6217"/>
    <cellStyle name="Normal 2 5 9 2 3" xfId="11169"/>
    <cellStyle name="Normal 2 5 9 3" xfId="3585"/>
    <cellStyle name="Normal 2 5 9 3 2" xfId="7441"/>
    <cellStyle name="Normal 2 5 9 3 3" xfId="9927"/>
    <cellStyle name="Normal 2 5 9 4" xfId="4993"/>
    <cellStyle name="Normal 2 5 9 5" xfId="8685"/>
    <cellStyle name="Normal 2 50" xfId="190"/>
    <cellStyle name="Normal 2 50 2" xfId="4272"/>
    <cellStyle name="Normal 2 51" xfId="191"/>
    <cellStyle name="Normal 2 51 2" xfId="4273"/>
    <cellStyle name="Normal 2 52" xfId="192"/>
    <cellStyle name="Normal 2 52 2" xfId="4274"/>
    <cellStyle name="Normal 2 53" xfId="193"/>
    <cellStyle name="Normal 2 53 2" xfId="4275"/>
    <cellStyle name="Normal 2 54" xfId="194"/>
    <cellStyle name="Normal 2 55" xfId="195"/>
    <cellStyle name="Normal 2 56" xfId="418"/>
    <cellStyle name="Normal 2 6" xfId="196"/>
    <cellStyle name="Normal 2 6 2" xfId="520"/>
    <cellStyle name="Normal 2 6 2 2" xfId="870"/>
    <cellStyle name="Normal 2 6 3" xfId="776"/>
    <cellStyle name="Normal 2 6 4" xfId="425"/>
    <cellStyle name="Normal 2 7" xfId="197"/>
    <cellStyle name="Normal 2 7 2" xfId="4276"/>
    <cellStyle name="Normal 2 8" xfId="198"/>
    <cellStyle name="Normal 2 8 2" xfId="4277"/>
    <cellStyle name="Normal 2 9" xfId="199"/>
    <cellStyle name="Normal 2 9 2" xfId="4278"/>
    <cellStyle name="Normal 20" xfId="200"/>
    <cellStyle name="Normal 20 2" xfId="201"/>
    <cellStyle name="Normal 20 3" xfId="202"/>
    <cellStyle name="Normal 20 4" xfId="4279"/>
    <cellStyle name="Normal 21" xfId="203"/>
    <cellStyle name="Normal 21 2" xfId="204"/>
    <cellStyle name="Normal 21 3" xfId="205"/>
    <cellStyle name="Normal 21 4" xfId="4280"/>
    <cellStyle name="Normal 22" xfId="206"/>
    <cellStyle name="Normal 22 2" xfId="207"/>
    <cellStyle name="Normal 22 3" xfId="208"/>
    <cellStyle name="Normal 22 4" xfId="4281"/>
    <cellStyle name="Normal 23" xfId="209"/>
    <cellStyle name="Normal 23 2" xfId="210"/>
    <cellStyle name="Normal 23 3" xfId="211"/>
    <cellStyle name="Normal 23 4" xfId="4282"/>
    <cellStyle name="Normal 24" xfId="212"/>
    <cellStyle name="Normal 24 2" xfId="213"/>
    <cellStyle name="Normal 24 3" xfId="214"/>
    <cellStyle name="Normal 24 4" xfId="4283"/>
    <cellStyle name="Normal 25" xfId="215"/>
    <cellStyle name="Normal 25 2" xfId="216"/>
    <cellStyle name="Normal 25 3" xfId="217"/>
    <cellStyle name="Normal 25 4" xfId="4284"/>
    <cellStyle name="Normal 26" xfId="218"/>
    <cellStyle name="Normal 26 2" xfId="219"/>
    <cellStyle name="Normal 26 3" xfId="220"/>
    <cellStyle name="Normal 26 4" xfId="4285"/>
    <cellStyle name="Normal 27" xfId="221"/>
    <cellStyle name="Normal 27 2" xfId="222"/>
    <cellStyle name="Normal 27 3" xfId="223"/>
    <cellStyle name="Normal 27 4" xfId="4286"/>
    <cellStyle name="Normal 28" xfId="224"/>
    <cellStyle name="Normal 28 2" xfId="225"/>
    <cellStyle name="Normal 28 3" xfId="226"/>
    <cellStyle name="Normal 28 4" xfId="4287"/>
    <cellStyle name="Normal 29" xfId="227"/>
    <cellStyle name="Normal 29 2" xfId="228"/>
    <cellStyle name="Normal 3" xfId="229"/>
    <cellStyle name="Normal 3 2" xfId="230"/>
    <cellStyle name="Normal 3 2 2" xfId="231"/>
    <cellStyle name="Normal 3 2 2 2" xfId="868"/>
    <cellStyle name="Normal 3 2 3" xfId="232"/>
    <cellStyle name="Normal 3 2 4" xfId="518"/>
    <cellStyle name="Normal 3 3" xfId="233"/>
    <cellStyle name="Normal 3 3 2" xfId="774"/>
    <cellStyle name="Normal 3 4" xfId="234"/>
    <cellStyle name="Normal 3 5" xfId="423"/>
    <cellStyle name="Normal 30" xfId="235"/>
    <cellStyle name="Normal 30 2" xfId="236"/>
    <cellStyle name="Normal 31" xfId="237"/>
    <cellStyle name="Normal 31 10" xfId="486"/>
    <cellStyle name="Normal 31 10 2" xfId="836"/>
    <cellStyle name="Normal 31 10 2 2" xfId="1474"/>
    <cellStyle name="Normal 31 10 2 2 2" xfId="2700"/>
    <cellStyle name="Normal 31 10 2 2 2 2" xfId="6560"/>
    <cellStyle name="Normal 31 10 2 2 2 3" xfId="11512"/>
    <cellStyle name="Normal 31 10 2 2 3" xfId="3928"/>
    <cellStyle name="Normal 31 10 2 2 3 2" xfId="7784"/>
    <cellStyle name="Normal 31 10 2 2 3 3" xfId="10270"/>
    <cellStyle name="Normal 31 10 2 2 4" xfId="5336"/>
    <cellStyle name="Normal 31 10 2 2 5" xfId="9028"/>
    <cellStyle name="Normal 31 10 2 3" xfId="2088"/>
    <cellStyle name="Normal 31 10 2 3 2" xfId="5948"/>
    <cellStyle name="Normal 31 10 2 3 3" xfId="10864"/>
    <cellStyle name="Normal 31 10 2 4" xfId="3316"/>
    <cellStyle name="Normal 31 10 2 4 2" xfId="7172"/>
    <cellStyle name="Normal 31 10 2 4 3" xfId="9622"/>
    <cellStyle name="Normal 31 10 2 5" xfId="4724"/>
    <cellStyle name="Normal 31 10 2 6" xfId="8379"/>
    <cellStyle name="Normal 31 10 3" xfId="1168"/>
    <cellStyle name="Normal 31 10 3 2" xfId="2394"/>
    <cellStyle name="Normal 31 10 3 2 2" xfId="6254"/>
    <cellStyle name="Normal 31 10 3 2 3" xfId="11206"/>
    <cellStyle name="Normal 31 10 3 3" xfId="3622"/>
    <cellStyle name="Normal 31 10 3 3 2" xfId="7478"/>
    <cellStyle name="Normal 31 10 3 3 3" xfId="9964"/>
    <cellStyle name="Normal 31 10 3 4" xfId="5030"/>
    <cellStyle name="Normal 31 10 3 5" xfId="8722"/>
    <cellStyle name="Normal 31 10 4" xfId="1782"/>
    <cellStyle name="Normal 31 10 4 2" xfId="5642"/>
    <cellStyle name="Normal 31 10 4 3" xfId="10576"/>
    <cellStyle name="Normal 31 10 5" xfId="3009"/>
    <cellStyle name="Normal 31 10 5 2" xfId="6866"/>
    <cellStyle name="Normal 31 10 5 3" xfId="12052"/>
    <cellStyle name="Normal 31 10 6" xfId="4418"/>
    <cellStyle name="Normal 31 10 6 2" xfId="9334"/>
    <cellStyle name="Normal 31 10 7" xfId="8091"/>
    <cellStyle name="Normal 31 11" xfId="798"/>
    <cellStyle name="Normal 31 11 2" xfId="1438"/>
    <cellStyle name="Normal 31 11 2 2" xfId="2664"/>
    <cellStyle name="Normal 31 11 2 2 2" xfId="6524"/>
    <cellStyle name="Normal 31 11 2 2 3" xfId="11476"/>
    <cellStyle name="Normal 31 11 2 3" xfId="3892"/>
    <cellStyle name="Normal 31 11 2 3 2" xfId="7748"/>
    <cellStyle name="Normal 31 11 2 3 3" xfId="10234"/>
    <cellStyle name="Normal 31 11 2 4" xfId="5300"/>
    <cellStyle name="Normal 31 11 2 5" xfId="8992"/>
    <cellStyle name="Normal 31 11 3" xfId="2052"/>
    <cellStyle name="Normal 31 11 3 2" xfId="5912"/>
    <cellStyle name="Normal 31 11 3 3" xfId="10846"/>
    <cellStyle name="Normal 31 11 4" xfId="3280"/>
    <cellStyle name="Normal 31 11 4 2" xfId="7136"/>
    <cellStyle name="Normal 31 11 4 3" xfId="9604"/>
    <cellStyle name="Normal 31 11 5" xfId="4688"/>
    <cellStyle name="Normal 31 11 6" xfId="8361"/>
    <cellStyle name="Normal 31 12" xfId="1132"/>
    <cellStyle name="Normal 31 12 2" xfId="2358"/>
    <cellStyle name="Normal 31 12 2 2" xfId="6218"/>
    <cellStyle name="Normal 31 12 2 3" xfId="11170"/>
    <cellStyle name="Normal 31 12 3" xfId="3586"/>
    <cellStyle name="Normal 31 12 3 2" xfId="7442"/>
    <cellStyle name="Normal 31 12 3 3" xfId="9928"/>
    <cellStyle name="Normal 31 12 4" xfId="4994"/>
    <cellStyle name="Normal 31 12 5" xfId="8686"/>
    <cellStyle name="Normal 31 13" xfId="447"/>
    <cellStyle name="Normal 31 13 2" xfId="4382"/>
    <cellStyle name="Normal 31 13 3" xfId="10540"/>
    <cellStyle name="Normal 31 14" xfId="1746"/>
    <cellStyle name="Normal 31 14 2" xfId="5606"/>
    <cellStyle name="Normal 31 14 3" xfId="11782"/>
    <cellStyle name="Normal 31 15" xfId="2973"/>
    <cellStyle name="Normal 31 15 2" xfId="6830"/>
    <cellStyle name="Normal 31 15 3" xfId="9298"/>
    <cellStyle name="Normal 31 16" xfId="8055"/>
    <cellStyle name="Normal 31 2" xfId="238"/>
    <cellStyle name="Normal 31 2 10" xfId="799"/>
    <cellStyle name="Normal 31 2 10 2" xfId="1439"/>
    <cellStyle name="Normal 31 2 10 2 2" xfId="2665"/>
    <cellStyle name="Normal 31 2 10 2 2 2" xfId="6525"/>
    <cellStyle name="Normal 31 2 10 2 2 3" xfId="11477"/>
    <cellStyle name="Normal 31 2 10 2 3" xfId="3893"/>
    <cellStyle name="Normal 31 2 10 2 3 2" xfId="7749"/>
    <cellStyle name="Normal 31 2 10 2 3 3" xfId="10235"/>
    <cellStyle name="Normal 31 2 10 2 4" xfId="5301"/>
    <cellStyle name="Normal 31 2 10 2 5" xfId="8993"/>
    <cellStyle name="Normal 31 2 10 3" xfId="2053"/>
    <cellStyle name="Normal 31 2 10 3 2" xfId="5913"/>
    <cellStyle name="Normal 31 2 10 3 3" xfId="10847"/>
    <cellStyle name="Normal 31 2 10 4" xfId="3281"/>
    <cellStyle name="Normal 31 2 10 4 2" xfId="7137"/>
    <cellStyle name="Normal 31 2 10 4 3" xfId="9605"/>
    <cellStyle name="Normal 31 2 10 5" xfId="4689"/>
    <cellStyle name="Normal 31 2 10 6" xfId="8362"/>
    <cellStyle name="Normal 31 2 11" xfId="1133"/>
    <cellStyle name="Normal 31 2 11 2" xfId="2359"/>
    <cellStyle name="Normal 31 2 11 2 2" xfId="6219"/>
    <cellStyle name="Normal 31 2 11 2 3" xfId="11171"/>
    <cellStyle name="Normal 31 2 11 3" xfId="3587"/>
    <cellStyle name="Normal 31 2 11 3 2" xfId="7443"/>
    <cellStyle name="Normal 31 2 11 3 3" xfId="9929"/>
    <cellStyle name="Normal 31 2 11 4" xfId="4995"/>
    <cellStyle name="Normal 31 2 11 5" xfId="8687"/>
    <cellStyle name="Normal 31 2 12" xfId="448"/>
    <cellStyle name="Normal 31 2 12 2" xfId="4383"/>
    <cellStyle name="Normal 31 2 12 3" xfId="10541"/>
    <cellStyle name="Normal 31 2 13" xfId="1747"/>
    <cellStyle name="Normal 31 2 13 2" xfId="5607"/>
    <cellStyle name="Normal 31 2 13 3" xfId="11783"/>
    <cellStyle name="Normal 31 2 14" xfId="2974"/>
    <cellStyle name="Normal 31 2 14 2" xfId="6831"/>
    <cellStyle name="Normal 31 2 14 3" xfId="9299"/>
    <cellStyle name="Normal 31 2 15" xfId="8056"/>
    <cellStyle name="Normal 31 2 2" xfId="449"/>
    <cellStyle name="Normal 31 2 2 10" xfId="1134"/>
    <cellStyle name="Normal 31 2 2 10 2" xfId="2360"/>
    <cellStyle name="Normal 31 2 2 10 2 2" xfId="6220"/>
    <cellStyle name="Normal 31 2 2 10 2 3" xfId="11172"/>
    <cellStyle name="Normal 31 2 2 10 3" xfId="3588"/>
    <cellStyle name="Normal 31 2 2 10 3 2" xfId="7444"/>
    <cellStyle name="Normal 31 2 2 10 3 3" xfId="9930"/>
    <cellStyle name="Normal 31 2 2 10 4" xfId="4996"/>
    <cellStyle name="Normal 31 2 2 10 5" xfId="8688"/>
    <cellStyle name="Normal 31 2 2 11" xfId="1748"/>
    <cellStyle name="Normal 31 2 2 11 2" xfId="5608"/>
    <cellStyle name="Normal 31 2 2 11 3" xfId="10542"/>
    <cellStyle name="Normal 31 2 2 12" xfId="2975"/>
    <cellStyle name="Normal 31 2 2 12 2" xfId="6832"/>
    <cellStyle name="Normal 31 2 2 12 3" xfId="11784"/>
    <cellStyle name="Normal 31 2 2 13" xfId="4384"/>
    <cellStyle name="Normal 31 2 2 13 2" xfId="9300"/>
    <cellStyle name="Normal 31 2 2 14" xfId="8057"/>
    <cellStyle name="Normal 31 2 2 2" xfId="450"/>
    <cellStyle name="Normal 31 2 2 2 10" xfId="1749"/>
    <cellStyle name="Normal 31 2 2 2 10 2" xfId="5609"/>
    <cellStyle name="Normal 31 2 2 2 10 3" xfId="10543"/>
    <cellStyle name="Normal 31 2 2 2 11" xfId="2976"/>
    <cellStyle name="Normal 31 2 2 2 11 2" xfId="6833"/>
    <cellStyle name="Normal 31 2 2 2 11 3" xfId="11785"/>
    <cellStyle name="Normal 31 2 2 2 12" xfId="4385"/>
    <cellStyle name="Normal 31 2 2 2 12 2" xfId="9301"/>
    <cellStyle name="Normal 31 2 2 2 13" xfId="8058"/>
    <cellStyle name="Normal 31 2 2 2 2" xfId="471"/>
    <cellStyle name="Normal 31 2 2 2 2 10" xfId="4403"/>
    <cellStyle name="Normal 31 2 2 2 2 10 2" xfId="9319"/>
    <cellStyle name="Normal 31 2 2 2 2 11" xfId="8076"/>
    <cellStyle name="Normal 31 2 2 2 2 2" xfId="584"/>
    <cellStyle name="Normal 31 2 2 2 2 2 2" xfId="765"/>
    <cellStyle name="Normal 31 2 2 2 2 2 2 2" xfId="1115"/>
    <cellStyle name="Normal 31 2 2 2 2 2 2 2 2" xfId="1729"/>
    <cellStyle name="Normal 31 2 2 2 2 2 2 2 2 2" xfId="2955"/>
    <cellStyle name="Normal 31 2 2 2 2 2 2 2 2 2 2" xfId="6815"/>
    <cellStyle name="Normal 31 2 2 2 2 2 2 2 2 2 3" xfId="11767"/>
    <cellStyle name="Normal 31 2 2 2 2 2 2 2 2 3" xfId="4183"/>
    <cellStyle name="Normal 31 2 2 2 2 2 2 2 2 3 2" xfId="8039"/>
    <cellStyle name="Normal 31 2 2 2 2 2 2 2 2 3 3" xfId="10525"/>
    <cellStyle name="Normal 31 2 2 2 2 2 2 2 2 4" xfId="5591"/>
    <cellStyle name="Normal 31 2 2 2 2 2 2 2 2 5" xfId="9283"/>
    <cellStyle name="Normal 31 2 2 2 2 2 2 2 3" xfId="2343"/>
    <cellStyle name="Normal 31 2 2 2 2 2 2 2 3 2" xfId="6203"/>
    <cellStyle name="Normal 31 2 2 2 2 2 2 2 3 3" xfId="11119"/>
    <cellStyle name="Normal 31 2 2 2 2 2 2 2 4" xfId="3571"/>
    <cellStyle name="Normal 31 2 2 2 2 2 2 2 4 2" xfId="7427"/>
    <cellStyle name="Normal 31 2 2 2 2 2 2 2 4 3" xfId="9877"/>
    <cellStyle name="Normal 31 2 2 2 2 2 2 2 5" xfId="4979"/>
    <cellStyle name="Normal 31 2 2 2 2 2 2 2 6" xfId="8634"/>
    <cellStyle name="Normal 31 2 2 2 2 2 2 3" xfId="1423"/>
    <cellStyle name="Normal 31 2 2 2 2 2 2 3 2" xfId="2649"/>
    <cellStyle name="Normal 31 2 2 2 2 2 2 3 2 2" xfId="6509"/>
    <cellStyle name="Normal 31 2 2 2 2 2 2 3 2 3" xfId="11461"/>
    <cellStyle name="Normal 31 2 2 2 2 2 2 3 3" xfId="3877"/>
    <cellStyle name="Normal 31 2 2 2 2 2 2 3 3 2" xfId="7733"/>
    <cellStyle name="Normal 31 2 2 2 2 2 2 3 3 3" xfId="10219"/>
    <cellStyle name="Normal 31 2 2 2 2 2 2 3 4" xfId="5285"/>
    <cellStyle name="Normal 31 2 2 2 2 2 2 3 5" xfId="8977"/>
    <cellStyle name="Normal 31 2 2 2 2 2 2 4" xfId="2037"/>
    <cellStyle name="Normal 31 2 2 2 2 2 2 4 2" xfId="5897"/>
    <cellStyle name="Normal 31 2 2 2 2 2 2 4 3" xfId="10831"/>
    <cellStyle name="Normal 31 2 2 2 2 2 2 5" xfId="3264"/>
    <cellStyle name="Normal 31 2 2 2 2 2 2 5 2" xfId="7121"/>
    <cellStyle name="Normal 31 2 2 2 2 2 2 5 3" xfId="12037"/>
    <cellStyle name="Normal 31 2 2 2 2 2 2 6" xfId="4673"/>
    <cellStyle name="Normal 31 2 2 2 2 2 2 6 2" xfId="9589"/>
    <cellStyle name="Normal 31 2 2 2 2 2 2 7" xfId="8346"/>
    <cellStyle name="Normal 31 2 2 2 2 2 3" xfId="675"/>
    <cellStyle name="Normal 31 2 2 2 2 2 3 2" xfId="1025"/>
    <cellStyle name="Normal 31 2 2 2 2 2 3 2 2" xfId="1639"/>
    <cellStyle name="Normal 31 2 2 2 2 2 3 2 2 2" xfId="2865"/>
    <cellStyle name="Normal 31 2 2 2 2 2 3 2 2 2 2" xfId="6725"/>
    <cellStyle name="Normal 31 2 2 2 2 2 3 2 2 2 3" xfId="11677"/>
    <cellStyle name="Normal 31 2 2 2 2 2 3 2 2 3" xfId="4093"/>
    <cellStyle name="Normal 31 2 2 2 2 2 3 2 2 3 2" xfId="7949"/>
    <cellStyle name="Normal 31 2 2 2 2 2 3 2 2 3 3" xfId="10435"/>
    <cellStyle name="Normal 31 2 2 2 2 2 3 2 2 4" xfId="5501"/>
    <cellStyle name="Normal 31 2 2 2 2 2 3 2 2 5" xfId="9193"/>
    <cellStyle name="Normal 31 2 2 2 2 2 3 2 3" xfId="2253"/>
    <cellStyle name="Normal 31 2 2 2 2 2 3 2 3 2" xfId="6113"/>
    <cellStyle name="Normal 31 2 2 2 2 2 3 2 3 3" xfId="11029"/>
    <cellStyle name="Normal 31 2 2 2 2 2 3 2 4" xfId="3481"/>
    <cellStyle name="Normal 31 2 2 2 2 2 3 2 4 2" xfId="7337"/>
    <cellStyle name="Normal 31 2 2 2 2 2 3 2 4 3" xfId="9787"/>
    <cellStyle name="Normal 31 2 2 2 2 2 3 2 5" xfId="4889"/>
    <cellStyle name="Normal 31 2 2 2 2 2 3 2 6" xfId="8544"/>
    <cellStyle name="Normal 31 2 2 2 2 2 3 3" xfId="1333"/>
    <cellStyle name="Normal 31 2 2 2 2 2 3 3 2" xfId="2559"/>
    <cellStyle name="Normal 31 2 2 2 2 2 3 3 2 2" xfId="6419"/>
    <cellStyle name="Normal 31 2 2 2 2 2 3 3 2 3" xfId="11371"/>
    <cellStyle name="Normal 31 2 2 2 2 2 3 3 3" xfId="3787"/>
    <cellStyle name="Normal 31 2 2 2 2 2 3 3 3 2" xfId="7643"/>
    <cellStyle name="Normal 31 2 2 2 2 2 3 3 3 3" xfId="10129"/>
    <cellStyle name="Normal 31 2 2 2 2 2 3 3 4" xfId="5195"/>
    <cellStyle name="Normal 31 2 2 2 2 2 3 3 5" xfId="8887"/>
    <cellStyle name="Normal 31 2 2 2 2 2 3 4" xfId="1947"/>
    <cellStyle name="Normal 31 2 2 2 2 2 3 4 2" xfId="5807"/>
    <cellStyle name="Normal 31 2 2 2 2 2 3 4 3" xfId="10741"/>
    <cellStyle name="Normal 31 2 2 2 2 2 3 5" xfId="3174"/>
    <cellStyle name="Normal 31 2 2 2 2 2 3 5 2" xfId="7031"/>
    <cellStyle name="Normal 31 2 2 2 2 2 3 5 3" xfId="11947"/>
    <cellStyle name="Normal 31 2 2 2 2 2 3 6" xfId="4583"/>
    <cellStyle name="Normal 31 2 2 2 2 2 3 6 2" xfId="9499"/>
    <cellStyle name="Normal 31 2 2 2 2 2 3 7" xfId="8256"/>
    <cellStyle name="Normal 31 2 2 2 2 2 4" xfId="934"/>
    <cellStyle name="Normal 31 2 2 2 2 2 4 2" xfId="1549"/>
    <cellStyle name="Normal 31 2 2 2 2 2 4 2 2" xfId="2775"/>
    <cellStyle name="Normal 31 2 2 2 2 2 4 2 2 2" xfId="6635"/>
    <cellStyle name="Normal 31 2 2 2 2 2 4 2 2 3" xfId="11587"/>
    <cellStyle name="Normal 31 2 2 2 2 2 4 2 3" xfId="4003"/>
    <cellStyle name="Normal 31 2 2 2 2 2 4 2 3 2" xfId="7859"/>
    <cellStyle name="Normal 31 2 2 2 2 2 4 2 3 3" xfId="10345"/>
    <cellStyle name="Normal 31 2 2 2 2 2 4 2 4" xfId="5411"/>
    <cellStyle name="Normal 31 2 2 2 2 2 4 2 5" xfId="9103"/>
    <cellStyle name="Normal 31 2 2 2 2 2 4 3" xfId="2163"/>
    <cellStyle name="Normal 31 2 2 2 2 2 4 3 2" xfId="6023"/>
    <cellStyle name="Normal 31 2 2 2 2 2 4 3 3" xfId="10939"/>
    <cellStyle name="Normal 31 2 2 2 2 2 4 4" xfId="3391"/>
    <cellStyle name="Normal 31 2 2 2 2 2 4 4 2" xfId="7247"/>
    <cellStyle name="Normal 31 2 2 2 2 2 4 4 3" xfId="9697"/>
    <cellStyle name="Normal 31 2 2 2 2 2 4 5" xfId="4799"/>
    <cellStyle name="Normal 31 2 2 2 2 2 4 6" xfId="8454"/>
    <cellStyle name="Normal 31 2 2 2 2 2 5" xfId="1243"/>
    <cellStyle name="Normal 31 2 2 2 2 2 5 2" xfId="2469"/>
    <cellStyle name="Normal 31 2 2 2 2 2 5 2 2" xfId="6329"/>
    <cellStyle name="Normal 31 2 2 2 2 2 5 2 3" xfId="11281"/>
    <cellStyle name="Normal 31 2 2 2 2 2 5 3" xfId="3697"/>
    <cellStyle name="Normal 31 2 2 2 2 2 5 3 2" xfId="7553"/>
    <cellStyle name="Normal 31 2 2 2 2 2 5 3 3" xfId="10039"/>
    <cellStyle name="Normal 31 2 2 2 2 2 5 4" xfId="5105"/>
    <cellStyle name="Normal 31 2 2 2 2 2 5 5" xfId="8797"/>
    <cellStyle name="Normal 31 2 2 2 2 2 6" xfId="1857"/>
    <cellStyle name="Normal 31 2 2 2 2 2 6 2" xfId="5717"/>
    <cellStyle name="Normal 31 2 2 2 2 2 6 3" xfId="10651"/>
    <cellStyle name="Normal 31 2 2 2 2 2 7" xfId="3084"/>
    <cellStyle name="Normal 31 2 2 2 2 2 7 2" xfId="6941"/>
    <cellStyle name="Normal 31 2 2 2 2 2 7 3" xfId="11857"/>
    <cellStyle name="Normal 31 2 2 2 2 2 8" xfId="4493"/>
    <cellStyle name="Normal 31 2 2 2 2 2 8 2" xfId="9409"/>
    <cellStyle name="Normal 31 2 2 2 2 2 9" xfId="8166"/>
    <cellStyle name="Normal 31 2 2 2 2 3" xfId="729"/>
    <cellStyle name="Normal 31 2 2 2 2 3 2" xfId="1079"/>
    <cellStyle name="Normal 31 2 2 2 2 3 2 2" xfId="1693"/>
    <cellStyle name="Normal 31 2 2 2 2 3 2 2 2" xfId="2919"/>
    <cellStyle name="Normal 31 2 2 2 2 3 2 2 2 2" xfId="6779"/>
    <cellStyle name="Normal 31 2 2 2 2 3 2 2 2 3" xfId="11731"/>
    <cellStyle name="Normal 31 2 2 2 2 3 2 2 3" xfId="4147"/>
    <cellStyle name="Normal 31 2 2 2 2 3 2 2 3 2" xfId="8003"/>
    <cellStyle name="Normal 31 2 2 2 2 3 2 2 3 3" xfId="10489"/>
    <cellStyle name="Normal 31 2 2 2 2 3 2 2 4" xfId="5555"/>
    <cellStyle name="Normal 31 2 2 2 2 3 2 2 5" xfId="9247"/>
    <cellStyle name="Normal 31 2 2 2 2 3 2 3" xfId="2307"/>
    <cellStyle name="Normal 31 2 2 2 2 3 2 3 2" xfId="6167"/>
    <cellStyle name="Normal 31 2 2 2 2 3 2 3 3" xfId="11083"/>
    <cellStyle name="Normal 31 2 2 2 2 3 2 4" xfId="3535"/>
    <cellStyle name="Normal 31 2 2 2 2 3 2 4 2" xfId="7391"/>
    <cellStyle name="Normal 31 2 2 2 2 3 2 4 3" xfId="9841"/>
    <cellStyle name="Normal 31 2 2 2 2 3 2 5" xfId="4943"/>
    <cellStyle name="Normal 31 2 2 2 2 3 2 6" xfId="8598"/>
    <cellStyle name="Normal 31 2 2 2 2 3 3" xfId="1387"/>
    <cellStyle name="Normal 31 2 2 2 2 3 3 2" xfId="2613"/>
    <cellStyle name="Normal 31 2 2 2 2 3 3 2 2" xfId="6473"/>
    <cellStyle name="Normal 31 2 2 2 2 3 3 2 3" xfId="11425"/>
    <cellStyle name="Normal 31 2 2 2 2 3 3 3" xfId="3841"/>
    <cellStyle name="Normal 31 2 2 2 2 3 3 3 2" xfId="7697"/>
    <cellStyle name="Normal 31 2 2 2 2 3 3 3 3" xfId="10183"/>
    <cellStyle name="Normal 31 2 2 2 2 3 3 4" xfId="5249"/>
    <cellStyle name="Normal 31 2 2 2 2 3 3 5" xfId="8941"/>
    <cellStyle name="Normal 31 2 2 2 2 3 4" xfId="2001"/>
    <cellStyle name="Normal 31 2 2 2 2 3 4 2" xfId="5861"/>
    <cellStyle name="Normal 31 2 2 2 2 3 4 3" xfId="10795"/>
    <cellStyle name="Normal 31 2 2 2 2 3 5" xfId="3228"/>
    <cellStyle name="Normal 31 2 2 2 2 3 5 2" xfId="7085"/>
    <cellStyle name="Normal 31 2 2 2 2 3 5 3" xfId="12001"/>
    <cellStyle name="Normal 31 2 2 2 2 3 6" xfId="4637"/>
    <cellStyle name="Normal 31 2 2 2 2 3 6 2" xfId="9553"/>
    <cellStyle name="Normal 31 2 2 2 2 3 7" xfId="8310"/>
    <cellStyle name="Normal 31 2 2 2 2 4" xfId="639"/>
    <cellStyle name="Normal 31 2 2 2 2 4 2" xfId="989"/>
    <cellStyle name="Normal 31 2 2 2 2 4 2 2" xfId="1603"/>
    <cellStyle name="Normal 31 2 2 2 2 4 2 2 2" xfId="2829"/>
    <cellStyle name="Normal 31 2 2 2 2 4 2 2 2 2" xfId="6689"/>
    <cellStyle name="Normal 31 2 2 2 2 4 2 2 2 3" xfId="11641"/>
    <cellStyle name="Normal 31 2 2 2 2 4 2 2 3" xfId="4057"/>
    <cellStyle name="Normal 31 2 2 2 2 4 2 2 3 2" xfId="7913"/>
    <cellStyle name="Normal 31 2 2 2 2 4 2 2 3 3" xfId="10399"/>
    <cellStyle name="Normal 31 2 2 2 2 4 2 2 4" xfId="5465"/>
    <cellStyle name="Normal 31 2 2 2 2 4 2 2 5" xfId="9157"/>
    <cellStyle name="Normal 31 2 2 2 2 4 2 3" xfId="2217"/>
    <cellStyle name="Normal 31 2 2 2 2 4 2 3 2" xfId="6077"/>
    <cellStyle name="Normal 31 2 2 2 2 4 2 3 3" xfId="10993"/>
    <cellStyle name="Normal 31 2 2 2 2 4 2 4" xfId="3445"/>
    <cellStyle name="Normal 31 2 2 2 2 4 2 4 2" xfId="7301"/>
    <cellStyle name="Normal 31 2 2 2 2 4 2 4 3" xfId="9751"/>
    <cellStyle name="Normal 31 2 2 2 2 4 2 5" xfId="4853"/>
    <cellStyle name="Normal 31 2 2 2 2 4 2 6" xfId="8508"/>
    <cellStyle name="Normal 31 2 2 2 2 4 3" xfId="1297"/>
    <cellStyle name="Normal 31 2 2 2 2 4 3 2" xfId="2523"/>
    <cellStyle name="Normal 31 2 2 2 2 4 3 2 2" xfId="6383"/>
    <cellStyle name="Normal 31 2 2 2 2 4 3 2 3" xfId="11335"/>
    <cellStyle name="Normal 31 2 2 2 2 4 3 3" xfId="3751"/>
    <cellStyle name="Normal 31 2 2 2 2 4 3 3 2" xfId="7607"/>
    <cellStyle name="Normal 31 2 2 2 2 4 3 3 3" xfId="10093"/>
    <cellStyle name="Normal 31 2 2 2 2 4 3 4" xfId="5159"/>
    <cellStyle name="Normal 31 2 2 2 2 4 3 5" xfId="8851"/>
    <cellStyle name="Normal 31 2 2 2 2 4 4" xfId="1911"/>
    <cellStyle name="Normal 31 2 2 2 2 4 4 2" xfId="5771"/>
    <cellStyle name="Normal 31 2 2 2 2 4 4 3" xfId="10705"/>
    <cellStyle name="Normal 31 2 2 2 2 4 5" xfId="3138"/>
    <cellStyle name="Normal 31 2 2 2 2 4 5 2" xfId="6995"/>
    <cellStyle name="Normal 31 2 2 2 2 4 5 3" xfId="11911"/>
    <cellStyle name="Normal 31 2 2 2 2 4 6" xfId="4547"/>
    <cellStyle name="Normal 31 2 2 2 2 4 6 2" xfId="9463"/>
    <cellStyle name="Normal 31 2 2 2 2 4 7" xfId="8220"/>
    <cellStyle name="Normal 31 2 2 2 2 5" xfId="545"/>
    <cellStyle name="Normal 31 2 2 2 2 5 2" xfId="895"/>
    <cellStyle name="Normal 31 2 2 2 2 5 2 2" xfId="1513"/>
    <cellStyle name="Normal 31 2 2 2 2 5 2 2 2" xfId="2739"/>
    <cellStyle name="Normal 31 2 2 2 2 5 2 2 2 2" xfId="6599"/>
    <cellStyle name="Normal 31 2 2 2 2 5 2 2 2 3" xfId="11551"/>
    <cellStyle name="Normal 31 2 2 2 2 5 2 2 3" xfId="3967"/>
    <cellStyle name="Normal 31 2 2 2 2 5 2 2 3 2" xfId="7823"/>
    <cellStyle name="Normal 31 2 2 2 2 5 2 2 3 3" xfId="10309"/>
    <cellStyle name="Normal 31 2 2 2 2 5 2 2 4" xfId="5375"/>
    <cellStyle name="Normal 31 2 2 2 2 5 2 2 5" xfId="9067"/>
    <cellStyle name="Normal 31 2 2 2 2 5 2 3" xfId="2127"/>
    <cellStyle name="Normal 31 2 2 2 2 5 2 3 2" xfId="5987"/>
    <cellStyle name="Normal 31 2 2 2 2 5 2 3 3" xfId="11155"/>
    <cellStyle name="Normal 31 2 2 2 2 5 2 4" xfId="3355"/>
    <cellStyle name="Normal 31 2 2 2 2 5 2 4 2" xfId="7211"/>
    <cellStyle name="Normal 31 2 2 2 2 5 2 4 3" xfId="9913"/>
    <cellStyle name="Normal 31 2 2 2 2 5 2 5" xfId="4763"/>
    <cellStyle name="Normal 31 2 2 2 2 5 2 6" xfId="8671"/>
    <cellStyle name="Normal 31 2 2 2 2 5 3" xfId="1207"/>
    <cellStyle name="Normal 31 2 2 2 2 5 3 2" xfId="2433"/>
    <cellStyle name="Normal 31 2 2 2 2 5 3 2 2" xfId="6293"/>
    <cellStyle name="Normal 31 2 2 2 2 5 3 2 3" xfId="11245"/>
    <cellStyle name="Normal 31 2 2 2 2 5 3 3" xfId="3661"/>
    <cellStyle name="Normal 31 2 2 2 2 5 3 3 2" xfId="7517"/>
    <cellStyle name="Normal 31 2 2 2 2 5 3 3 3" xfId="10003"/>
    <cellStyle name="Normal 31 2 2 2 2 5 3 4" xfId="5069"/>
    <cellStyle name="Normal 31 2 2 2 2 5 3 5" xfId="8761"/>
    <cellStyle name="Normal 31 2 2 2 2 5 4" xfId="1821"/>
    <cellStyle name="Normal 31 2 2 2 2 5 4 2" xfId="5681"/>
    <cellStyle name="Normal 31 2 2 2 2 5 4 2 2" xfId="11137"/>
    <cellStyle name="Normal 31 2 2 2 2 5 4 3" xfId="9895"/>
    <cellStyle name="Normal 31 2 2 2 2 5 4 4" xfId="8652"/>
    <cellStyle name="Normal 31 2 2 2 2 5 5" xfId="3048"/>
    <cellStyle name="Normal 31 2 2 2 2 5 5 2" xfId="6905"/>
    <cellStyle name="Normal 31 2 2 2 2 5 5 3" xfId="10615"/>
    <cellStyle name="Normal 31 2 2 2 2 5 6" xfId="4457"/>
    <cellStyle name="Normal 31 2 2 2 2 5 6 2" xfId="9373"/>
    <cellStyle name="Normal 31 2 2 2 2 5 7" xfId="8130"/>
    <cellStyle name="Normal 31 2 2 2 2 6" xfId="821"/>
    <cellStyle name="Normal 31 2 2 2 2 6 2" xfId="1459"/>
    <cellStyle name="Normal 31 2 2 2 2 6 2 2" xfId="2685"/>
    <cellStyle name="Normal 31 2 2 2 2 6 2 2 2" xfId="6545"/>
    <cellStyle name="Normal 31 2 2 2 2 6 2 2 3" xfId="11497"/>
    <cellStyle name="Normal 31 2 2 2 2 6 2 3" xfId="3913"/>
    <cellStyle name="Normal 31 2 2 2 2 6 2 3 2" xfId="7769"/>
    <cellStyle name="Normal 31 2 2 2 2 6 2 3 3" xfId="10255"/>
    <cellStyle name="Normal 31 2 2 2 2 6 2 4" xfId="5321"/>
    <cellStyle name="Normal 31 2 2 2 2 6 2 5" xfId="9013"/>
    <cellStyle name="Normal 31 2 2 2 2 6 3" xfId="2073"/>
    <cellStyle name="Normal 31 2 2 2 2 6 3 2" xfId="5933"/>
    <cellStyle name="Normal 31 2 2 2 2 6 3 3" xfId="10903"/>
    <cellStyle name="Normal 31 2 2 2 2 6 4" xfId="3301"/>
    <cellStyle name="Normal 31 2 2 2 2 6 4 2" xfId="7157"/>
    <cellStyle name="Normal 31 2 2 2 2 6 4 3" xfId="9661"/>
    <cellStyle name="Normal 31 2 2 2 2 6 5" xfId="4709"/>
    <cellStyle name="Normal 31 2 2 2 2 6 6" xfId="8418"/>
    <cellStyle name="Normal 31 2 2 2 2 7" xfId="1153"/>
    <cellStyle name="Normal 31 2 2 2 2 7 2" xfId="2379"/>
    <cellStyle name="Normal 31 2 2 2 2 7 2 2" xfId="6239"/>
    <cellStyle name="Normal 31 2 2 2 2 7 2 3" xfId="11191"/>
    <cellStyle name="Normal 31 2 2 2 2 7 3" xfId="3607"/>
    <cellStyle name="Normal 31 2 2 2 2 7 3 2" xfId="7463"/>
    <cellStyle name="Normal 31 2 2 2 2 7 3 3" xfId="9949"/>
    <cellStyle name="Normal 31 2 2 2 2 7 4" xfId="5015"/>
    <cellStyle name="Normal 31 2 2 2 2 7 5" xfId="8707"/>
    <cellStyle name="Normal 31 2 2 2 2 8" xfId="1767"/>
    <cellStyle name="Normal 31 2 2 2 2 8 2" xfId="5627"/>
    <cellStyle name="Normal 31 2 2 2 2 8 3" xfId="10561"/>
    <cellStyle name="Normal 31 2 2 2 2 9" xfId="2994"/>
    <cellStyle name="Normal 31 2 2 2 2 9 2" xfId="6851"/>
    <cellStyle name="Normal 31 2 2 2 2 9 3" xfId="11821"/>
    <cellStyle name="Normal 31 2 2 2 3" xfId="566"/>
    <cellStyle name="Normal 31 2 2 2 3 2" xfId="747"/>
    <cellStyle name="Normal 31 2 2 2 3 2 2" xfId="1097"/>
    <cellStyle name="Normal 31 2 2 2 3 2 2 2" xfId="1711"/>
    <cellStyle name="Normal 31 2 2 2 3 2 2 2 2" xfId="2937"/>
    <cellStyle name="Normal 31 2 2 2 3 2 2 2 2 2" xfId="6797"/>
    <cellStyle name="Normal 31 2 2 2 3 2 2 2 2 3" xfId="11749"/>
    <cellStyle name="Normal 31 2 2 2 3 2 2 2 3" xfId="4165"/>
    <cellStyle name="Normal 31 2 2 2 3 2 2 2 3 2" xfId="8021"/>
    <cellStyle name="Normal 31 2 2 2 3 2 2 2 3 3" xfId="10507"/>
    <cellStyle name="Normal 31 2 2 2 3 2 2 2 4" xfId="5573"/>
    <cellStyle name="Normal 31 2 2 2 3 2 2 2 5" xfId="9265"/>
    <cellStyle name="Normal 31 2 2 2 3 2 2 3" xfId="2325"/>
    <cellStyle name="Normal 31 2 2 2 3 2 2 3 2" xfId="6185"/>
    <cellStyle name="Normal 31 2 2 2 3 2 2 3 3" xfId="11101"/>
    <cellStyle name="Normal 31 2 2 2 3 2 2 4" xfId="3553"/>
    <cellStyle name="Normal 31 2 2 2 3 2 2 4 2" xfId="7409"/>
    <cellStyle name="Normal 31 2 2 2 3 2 2 4 3" xfId="9859"/>
    <cellStyle name="Normal 31 2 2 2 3 2 2 5" xfId="4961"/>
    <cellStyle name="Normal 31 2 2 2 3 2 2 6" xfId="8616"/>
    <cellStyle name="Normal 31 2 2 2 3 2 3" xfId="1405"/>
    <cellStyle name="Normal 31 2 2 2 3 2 3 2" xfId="2631"/>
    <cellStyle name="Normal 31 2 2 2 3 2 3 2 2" xfId="6491"/>
    <cellStyle name="Normal 31 2 2 2 3 2 3 2 3" xfId="11443"/>
    <cellStyle name="Normal 31 2 2 2 3 2 3 3" xfId="3859"/>
    <cellStyle name="Normal 31 2 2 2 3 2 3 3 2" xfId="7715"/>
    <cellStyle name="Normal 31 2 2 2 3 2 3 3 3" xfId="10201"/>
    <cellStyle name="Normal 31 2 2 2 3 2 3 4" xfId="5267"/>
    <cellStyle name="Normal 31 2 2 2 3 2 3 5" xfId="8959"/>
    <cellStyle name="Normal 31 2 2 2 3 2 4" xfId="2019"/>
    <cellStyle name="Normal 31 2 2 2 3 2 4 2" xfId="5879"/>
    <cellStyle name="Normal 31 2 2 2 3 2 4 3" xfId="10813"/>
    <cellStyle name="Normal 31 2 2 2 3 2 5" xfId="3246"/>
    <cellStyle name="Normal 31 2 2 2 3 2 5 2" xfId="7103"/>
    <cellStyle name="Normal 31 2 2 2 3 2 5 3" xfId="12019"/>
    <cellStyle name="Normal 31 2 2 2 3 2 6" xfId="4655"/>
    <cellStyle name="Normal 31 2 2 2 3 2 6 2" xfId="9571"/>
    <cellStyle name="Normal 31 2 2 2 3 2 7" xfId="8328"/>
    <cellStyle name="Normal 31 2 2 2 3 3" xfId="657"/>
    <cellStyle name="Normal 31 2 2 2 3 3 2" xfId="1007"/>
    <cellStyle name="Normal 31 2 2 2 3 3 2 2" xfId="1621"/>
    <cellStyle name="Normal 31 2 2 2 3 3 2 2 2" xfId="2847"/>
    <cellStyle name="Normal 31 2 2 2 3 3 2 2 2 2" xfId="6707"/>
    <cellStyle name="Normal 31 2 2 2 3 3 2 2 2 3" xfId="11659"/>
    <cellStyle name="Normal 31 2 2 2 3 3 2 2 3" xfId="4075"/>
    <cellStyle name="Normal 31 2 2 2 3 3 2 2 3 2" xfId="7931"/>
    <cellStyle name="Normal 31 2 2 2 3 3 2 2 3 3" xfId="10417"/>
    <cellStyle name="Normal 31 2 2 2 3 3 2 2 4" xfId="5483"/>
    <cellStyle name="Normal 31 2 2 2 3 3 2 2 5" xfId="9175"/>
    <cellStyle name="Normal 31 2 2 2 3 3 2 3" xfId="2235"/>
    <cellStyle name="Normal 31 2 2 2 3 3 2 3 2" xfId="6095"/>
    <cellStyle name="Normal 31 2 2 2 3 3 2 3 3" xfId="11011"/>
    <cellStyle name="Normal 31 2 2 2 3 3 2 4" xfId="3463"/>
    <cellStyle name="Normal 31 2 2 2 3 3 2 4 2" xfId="7319"/>
    <cellStyle name="Normal 31 2 2 2 3 3 2 4 3" xfId="9769"/>
    <cellStyle name="Normal 31 2 2 2 3 3 2 5" xfId="4871"/>
    <cellStyle name="Normal 31 2 2 2 3 3 2 6" xfId="8526"/>
    <cellStyle name="Normal 31 2 2 2 3 3 3" xfId="1315"/>
    <cellStyle name="Normal 31 2 2 2 3 3 3 2" xfId="2541"/>
    <cellStyle name="Normal 31 2 2 2 3 3 3 2 2" xfId="6401"/>
    <cellStyle name="Normal 31 2 2 2 3 3 3 2 3" xfId="11353"/>
    <cellStyle name="Normal 31 2 2 2 3 3 3 3" xfId="3769"/>
    <cellStyle name="Normal 31 2 2 2 3 3 3 3 2" xfId="7625"/>
    <cellStyle name="Normal 31 2 2 2 3 3 3 3 3" xfId="10111"/>
    <cellStyle name="Normal 31 2 2 2 3 3 3 4" xfId="5177"/>
    <cellStyle name="Normal 31 2 2 2 3 3 3 5" xfId="8869"/>
    <cellStyle name="Normal 31 2 2 2 3 3 4" xfId="1929"/>
    <cellStyle name="Normal 31 2 2 2 3 3 4 2" xfId="5789"/>
    <cellStyle name="Normal 31 2 2 2 3 3 4 3" xfId="10723"/>
    <cellStyle name="Normal 31 2 2 2 3 3 5" xfId="3156"/>
    <cellStyle name="Normal 31 2 2 2 3 3 5 2" xfId="7013"/>
    <cellStyle name="Normal 31 2 2 2 3 3 5 3" xfId="11929"/>
    <cellStyle name="Normal 31 2 2 2 3 3 6" xfId="4565"/>
    <cellStyle name="Normal 31 2 2 2 3 3 6 2" xfId="9481"/>
    <cellStyle name="Normal 31 2 2 2 3 3 7" xfId="8238"/>
    <cellStyle name="Normal 31 2 2 2 3 4" xfId="916"/>
    <cellStyle name="Normal 31 2 2 2 3 4 2" xfId="1531"/>
    <cellStyle name="Normal 31 2 2 2 3 4 2 2" xfId="2757"/>
    <cellStyle name="Normal 31 2 2 2 3 4 2 2 2" xfId="6617"/>
    <cellStyle name="Normal 31 2 2 2 3 4 2 2 3" xfId="11569"/>
    <cellStyle name="Normal 31 2 2 2 3 4 2 3" xfId="3985"/>
    <cellStyle name="Normal 31 2 2 2 3 4 2 3 2" xfId="7841"/>
    <cellStyle name="Normal 31 2 2 2 3 4 2 3 3" xfId="10327"/>
    <cellStyle name="Normal 31 2 2 2 3 4 2 4" xfId="5393"/>
    <cellStyle name="Normal 31 2 2 2 3 4 2 5" xfId="9085"/>
    <cellStyle name="Normal 31 2 2 2 3 4 3" xfId="2145"/>
    <cellStyle name="Normal 31 2 2 2 3 4 3 2" xfId="6005"/>
    <cellStyle name="Normal 31 2 2 2 3 4 3 3" xfId="10921"/>
    <cellStyle name="Normal 31 2 2 2 3 4 4" xfId="3373"/>
    <cellStyle name="Normal 31 2 2 2 3 4 4 2" xfId="7229"/>
    <cellStyle name="Normal 31 2 2 2 3 4 4 3" xfId="9679"/>
    <cellStyle name="Normal 31 2 2 2 3 4 5" xfId="4781"/>
    <cellStyle name="Normal 31 2 2 2 3 4 6" xfId="8436"/>
    <cellStyle name="Normal 31 2 2 2 3 5" xfId="1225"/>
    <cellStyle name="Normal 31 2 2 2 3 5 2" xfId="2451"/>
    <cellStyle name="Normal 31 2 2 2 3 5 2 2" xfId="6311"/>
    <cellStyle name="Normal 31 2 2 2 3 5 2 3" xfId="11263"/>
    <cellStyle name="Normal 31 2 2 2 3 5 3" xfId="3679"/>
    <cellStyle name="Normal 31 2 2 2 3 5 3 2" xfId="7535"/>
    <cellStyle name="Normal 31 2 2 2 3 5 3 3" xfId="10021"/>
    <cellStyle name="Normal 31 2 2 2 3 5 4" xfId="5087"/>
    <cellStyle name="Normal 31 2 2 2 3 5 5" xfId="8779"/>
    <cellStyle name="Normal 31 2 2 2 3 6" xfId="1839"/>
    <cellStyle name="Normal 31 2 2 2 3 6 2" xfId="5699"/>
    <cellStyle name="Normal 31 2 2 2 3 6 3" xfId="10633"/>
    <cellStyle name="Normal 31 2 2 2 3 7" xfId="3066"/>
    <cellStyle name="Normal 31 2 2 2 3 7 2" xfId="6923"/>
    <cellStyle name="Normal 31 2 2 2 3 7 3" xfId="11839"/>
    <cellStyle name="Normal 31 2 2 2 3 8" xfId="4475"/>
    <cellStyle name="Normal 31 2 2 2 3 8 2" xfId="9391"/>
    <cellStyle name="Normal 31 2 2 2 3 9" xfId="8148"/>
    <cellStyle name="Normal 31 2 2 2 4" xfId="509"/>
    <cellStyle name="Normal 31 2 2 2 4 2" xfId="711"/>
    <cellStyle name="Normal 31 2 2 2 4 2 2" xfId="1061"/>
    <cellStyle name="Normal 31 2 2 2 4 2 2 2" xfId="1675"/>
    <cellStyle name="Normal 31 2 2 2 4 2 2 2 2" xfId="2901"/>
    <cellStyle name="Normal 31 2 2 2 4 2 2 2 2 2" xfId="6761"/>
    <cellStyle name="Normal 31 2 2 2 4 2 2 2 2 3" xfId="11713"/>
    <cellStyle name="Normal 31 2 2 2 4 2 2 2 3" xfId="4129"/>
    <cellStyle name="Normal 31 2 2 2 4 2 2 2 3 2" xfId="7985"/>
    <cellStyle name="Normal 31 2 2 2 4 2 2 2 3 3" xfId="10471"/>
    <cellStyle name="Normal 31 2 2 2 4 2 2 2 4" xfId="5537"/>
    <cellStyle name="Normal 31 2 2 2 4 2 2 2 5" xfId="9229"/>
    <cellStyle name="Normal 31 2 2 2 4 2 2 3" xfId="2289"/>
    <cellStyle name="Normal 31 2 2 2 4 2 2 3 2" xfId="6149"/>
    <cellStyle name="Normal 31 2 2 2 4 2 2 3 3" xfId="11065"/>
    <cellStyle name="Normal 31 2 2 2 4 2 2 4" xfId="3517"/>
    <cellStyle name="Normal 31 2 2 2 4 2 2 4 2" xfId="7373"/>
    <cellStyle name="Normal 31 2 2 2 4 2 2 4 3" xfId="9823"/>
    <cellStyle name="Normal 31 2 2 2 4 2 2 5" xfId="4925"/>
    <cellStyle name="Normal 31 2 2 2 4 2 2 6" xfId="8580"/>
    <cellStyle name="Normal 31 2 2 2 4 2 3" xfId="1369"/>
    <cellStyle name="Normal 31 2 2 2 4 2 3 2" xfId="2595"/>
    <cellStyle name="Normal 31 2 2 2 4 2 3 2 2" xfId="6455"/>
    <cellStyle name="Normal 31 2 2 2 4 2 3 2 3" xfId="11407"/>
    <cellStyle name="Normal 31 2 2 2 4 2 3 3" xfId="3823"/>
    <cellStyle name="Normal 31 2 2 2 4 2 3 3 2" xfId="7679"/>
    <cellStyle name="Normal 31 2 2 2 4 2 3 3 3" xfId="10165"/>
    <cellStyle name="Normal 31 2 2 2 4 2 3 4" xfId="5231"/>
    <cellStyle name="Normal 31 2 2 2 4 2 3 5" xfId="8923"/>
    <cellStyle name="Normal 31 2 2 2 4 2 4" xfId="1983"/>
    <cellStyle name="Normal 31 2 2 2 4 2 4 2" xfId="5843"/>
    <cellStyle name="Normal 31 2 2 2 4 2 4 3" xfId="10777"/>
    <cellStyle name="Normal 31 2 2 2 4 2 5" xfId="3210"/>
    <cellStyle name="Normal 31 2 2 2 4 2 5 2" xfId="7067"/>
    <cellStyle name="Normal 31 2 2 2 4 2 5 3" xfId="11983"/>
    <cellStyle name="Normal 31 2 2 2 4 2 6" xfId="4619"/>
    <cellStyle name="Normal 31 2 2 2 4 2 6 2" xfId="9535"/>
    <cellStyle name="Normal 31 2 2 2 4 2 7" xfId="8292"/>
    <cellStyle name="Normal 31 2 2 2 4 3" xfId="621"/>
    <cellStyle name="Normal 31 2 2 2 4 3 2" xfId="971"/>
    <cellStyle name="Normal 31 2 2 2 4 3 2 2" xfId="1585"/>
    <cellStyle name="Normal 31 2 2 2 4 3 2 2 2" xfId="2811"/>
    <cellStyle name="Normal 31 2 2 2 4 3 2 2 2 2" xfId="6671"/>
    <cellStyle name="Normal 31 2 2 2 4 3 2 2 2 3" xfId="11623"/>
    <cellStyle name="Normal 31 2 2 2 4 3 2 2 3" xfId="4039"/>
    <cellStyle name="Normal 31 2 2 2 4 3 2 2 3 2" xfId="7895"/>
    <cellStyle name="Normal 31 2 2 2 4 3 2 2 3 3" xfId="10381"/>
    <cellStyle name="Normal 31 2 2 2 4 3 2 2 4" xfId="5447"/>
    <cellStyle name="Normal 31 2 2 2 4 3 2 2 5" xfId="9139"/>
    <cellStyle name="Normal 31 2 2 2 4 3 2 3" xfId="2199"/>
    <cellStyle name="Normal 31 2 2 2 4 3 2 3 2" xfId="6059"/>
    <cellStyle name="Normal 31 2 2 2 4 3 2 3 3" xfId="10975"/>
    <cellStyle name="Normal 31 2 2 2 4 3 2 4" xfId="3427"/>
    <cellStyle name="Normal 31 2 2 2 4 3 2 4 2" xfId="7283"/>
    <cellStyle name="Normal 31 2 2 2 4 3 2 4 3" xfId="9733"/>
    <cellStyle name="Normal 31 2 2 2 4 3 2 5" xfId="4835"/>
    <cellStyle name="Normal 31 2 2 2 4 3 2 6" xfId="8490"/>
    <cellStyle name="Normal 31 2 2 2 4 3 3" xfId="1279"/>
    <cellStyle name="Normal 31 2 2 2 4 3 3 2" xfId="2505"/>
    <cellStyle name="Normal 31 2 2 2 4 3 3 2 2" xfId="6365"/>
    <cellStyle name="Normal 31 2 2 2 4 3 3 2 3" xfId="11317"/>
    <cellStyle name="Normal 31 2 2 2 4 3 3 3" xfId="3733"/>
    <cellStyle name="Normal 31 2 2 2 4 3 3 3 2" xfId="7589"/>
    <cellStyle name="Normal 31 2 2 2 4 3 3 3 3" xfId="10075"/>
    <cellStyle name="Normal 31 2 2 2 4 3 3 4" xfId="5141"/>
    <cellStyle name="Normal 31 2 2 2 4 3 3 5" xfId="8833"/>
    <cellStyle name="Normal 31 2 2 2 4 3 4" xfId="1893"/>
    <cellStyle name="Normal 31 2 2 2 4 3 4 2" xfId="5753"/>
    <cellStyle name="Normal 31 2 2 2 4 3 4 3" xfId="10687"/>
    <cellStyle name="Normal 31 2 2 2 4 3 5" xfId="3120"/>
    <cellStyle name="Normal 31 2 2 2 4 3 5 2" xfId="6977"/>
    <cellStyle name="Normal 31 2 2 2 4 3 5 3" xfId="11893"/>
    <cellStyle name="Normal 31 2 2 2 4 3 6" xfId="4529"/>
    <cellStyle name="Normal 31 2 2 2 4 3 6 2" xfId="9445"/>
    <cellStyle name="Normal 31 2 2 2 4 3 7" xfId="8202"/>
    <cellStyle name="Normal 31 2 2 2 4 4" xfId="859"/>
    <cellStyle name="Normal 31 2 2 2 4 4 2" xfId="1495"/>
    <cellStyle name="Normal 31 2 2 2 4 4 2 2" xfId="2721"/>
    <cellStyle name="Normal 31 2 2 2 4 4 2 2 2" xfId="6581"/>
    <cellStyle name="Normal 31 2 2 2 4 4 2 2 3" xfId="11533"/>
    <cellStyle name="Normal 31 2 2 2 4 4 2 3" xfId="3949"/>
    <cellStyle name="Normal 31 2 2 2 4 4 2 3 2" xfId="7805"/>
    <cellStyle name="Normal 31 2 2 2 4 4 2 3 3" xfId="10291"/>
    <cellStyle name="Normal 31 2 2 2 4 4 2 4" xfId="5357"/>
    <cellStyle name="Normal 31 2 2 2 4 4 2 5" xfId="9049"/>
    <cellStyle name="Normal 31 2 2 2 4 4 3" xfId="2109"/>
    <cellStyle name="Normal 31 2 2 2 4 4 3 2" xfId="5969"/>
    <cellStyle name="Normal 31 2 2 2 4 4 3 3" xfId="10885"/>
    <cellStyle name="Normal 31 2 2 2 4 4 4" xfId="3337"/>
    <cellStyle name="Normal 31 2 2 2 4 4 4 2" xfId="7193"/>
    <cellStyle name="Normal 31 2 2 2 4 4 4 3" xfId="9643"/>
    <cellStyle name="Normal 31 2 2 2 4 4 5" xfId="4745"/>
    <cellStyle name="Normal 31 2 2 2 4 4 6" xfId="8400"/>
    <cellStyle name="Normal 31 2 2 2 4 5" xfId="1189"/>
    <cellStyle name="Normal 31 2 2 2 4 5 2" xfId="2415"/>
    <cellStyle name="Normal 31 2 2 2 4 5 2 2" xfId="6275"/>
    <cellStyle name="Normal 31 2 2 2 4 5 2 3" xfId="11227"/>
    <cellStyle name="Normal 31 2 2 2 4 5 3" xfId="3643"/>
    <cellStyle name="Normal 31 2 2 2 4 5 3 2" xfId="7499"/>
    <cellStyle name="Normal 31 2 2 2 4 5 3 3" xfId="9985"/>
    <cellStyle name="Normal 31 2 2 2 4 5 4" xfId="5051"/>
    <cellStyle name="Normal 31 2 2 2 4 5 5" xfId="8743"/>
    <cellStyle name="Normal 31 2 2 2 4 6" xfId="1803"/>
    <cellStyle name="Normal 31 2 2 2 4 6 2" xfId="5663"/>
    <cellStyle name="Normal 31 2 2 2 4 6 3" xfId="10597"/>
    <cellStyle name="Normal 31 2 2 2 4 7" xfId="3030"/>
    <cellStyle name="Normal 31 2 2 2 4 7 2" xfId="6887"/>
    <cellStyle name="Normal 31 2 2 2 4 7 3" xfId="11803"/>
    <cellStyle name="Normal 31 2 2 2 4 8" xfId="4439"/>
    <cellStyle name="Normal 31 2 2 2 4 8 2" xfId="9355"/>
    <cellStyle name="Normal 31 2 2 2 4 9" xfId="8112"/>
    <cellStyle name="Normal 31 2 2 2 5" xfId="693"/>
    <cellStyle name="Normal 31 2 2 2 5 2" xfId="1043"/>
    <cellStyle name="Normal 31 2 2 2 5 2 2" xfId="1657"/>
    <cellStyle name="Normal 31 2 2 2 5 2 2 2" xfId="2883"/>
    <cellStyle name="Normal 31 2 2 2 5 2 2 2 2" xfId="6743"/>
    <cellStyle name="Normal 31 2 2 2 5 2 2 2 3" xfId="11695"/>
    <cellStyle name="Normal 31 2 2 2 5 2 2 3" xfId="4111"/>
    <cellStyle name="Normal 31 2 2 2 5 2 2 3 2" xfId="7967"/>
    <cellStyle name="Normal 31 2 2 2 5 2 2 3 3" xfId="10453"/>
    <cellStyle name="Normal 31 2 2 2 5 2 2 4" xfId="5519"/>
    <cellStyle name="Normal 31 2 2 2 5 2 2 5" xfId="9211"/>
    <cellStyle name="Normal 31 2 2 2 5 2 3" xfId="2271"/>
    <cellStyle name="Normal 31 2 2 2 5 2 3 2" xfId="6131"/>
    <cellStyle name="Normal 31 2 2 2 5 2 3 3" xfId="11047"/>
    <cellStyle name="Normal 31 2 2 2 5 2 4" xfId="3499"/>
    <cellStyle name="Normal 31 2 2 2 5 2 4 2" xfId="7355"/>
    <cellStyle name="Normal 31 2 2 2 5 2 4 3" xfId="9805"/>
    <cellStyle name="Normal 31 2 2 2 5 2 5" xfId="4907"/>
    <cellStyle name="Normal 31 2 2 2 5 2 6" xfId="8562"/>
    <cellStyle name="Normal 31 2 2 2 5 3" xfId="1351"/>
    <cellStyle name="Normal 31 2 2 2 5 3 2" xfId="2577"/>
    <cellStyle name="Normal 31 2 2 2 5 3 2 2" xfId="6437"/>
    <cellStyle name="Normal 31 2 2 2 5 3 2 3" xfId="11389"/>
    <cellStyle name="Normal 31 2 2 2 5 3 3" xfId="3805"/>
    <cellStyle name="Normal 31 2 2 2 5 3 3 2" xfId="7661"/>
    <cellStyle name="Normal 31 2 2 2 5 3 3 3" xfId="10147"/>
    <cellStyle name="Normal 31 2 2 2 5 3 4" xfId="5213"/>
    <cellStyle name="Normal 31 2 2 2 5 3 5" xfId="8905"/>
    <cellStyle name="Normal 31 2 2 2 5 4" xfId="1965"/>
    <cellStyle name="Normal 31 2 2 2 5 4 2" xfId="5825"/>
    <cellStyle name="Normal 31 2 2 2 5 4 3" xfId="10759"/>
    <cellStyle name="Normal 31 2 2 2 5 5" xfId="3192"/>
    <cellStyle name="Normal 31 2 2 2 5 5 2" xfId="7049"/>
    <cellStyle name="Normal 31 2 2 2 5 5 3" xfId="11965"/>
    <cellStyle name="Normal 31 2 2 2 5 6" xfId="4601"/>
    <cellStyle name="Normal 31 2 2 2 5 6 2" xfId="9517"/>
    <cellStyle name="Normal 31 2 2 2 5 7" xfId="8274"/>
    <cellStyle name="Normal 31 2 2 2 6" xfId="603"/>
    <cellStyle name="Normal 31 2 2 2 6 2" xfId="953"/>
    <cellStyle name="Normal 31 2 2 2 6 2 2" xfId="1567"/>
    <cellStyle name="Normal 31 2 2 2 6 2 2 2" xfId="2793"/>
    <cellStyle name="Normal 31 2 2 2 6 2 2 2 2" xfId="6653"/>
    <cellStyle name="Normal 31 2 2 2 6 2 2 2 3" xfId="11605"/>
    <cellStyle name="Normal 31 2 2 2 6 2 2 3" xfId="4021"/>
    <cellStyle name="Normal 31 2 2 2 6 2 2 3 2" xfId="7877"/>
    <cellStyle name="Normal 31 2 2 2 6 2 2 3 3" xfId="10363"/>
    <cellStyle name="Normal 31 2 2 2 6 2 2 4" xfId="5429"/>
    <cellStyle name="Normal 31 2 2 2 6 2 2 5" xfId="9121"/>
    <cellStyle name="Normal 31 2 2 2 6 2 3" xfId="2181"/>
    <cellStyle name="Normal 31 2 2 2 6 2 3 2" xfId="6041"/>
    <cellStyle name="Normal 31 2 2 2 6 2 3 3" xfId="10957"/>
    <cellStyle name="Normal 31 2 2 2 6 2 4" xfId="3409"/>
    <cellStyle name="Normal 31 2 2 2 6 2 4 2" xfId="7265"/>
    <cellStyle name="Normal 31 2 2 2 6 2 4 3" xfId="9715"/>
    <cellStyle name="Normal 31 2 2 2 6 2 5" xfId="4817"/>
    <cellStyle name="Normal 31 2 2 2 6 2 6" xfId="8472"/>
    <cellStyle name="Normal 31 2 2 2 6 3" xfId="1261"/>
    <cellStyle name="Normal 31 2 2 2 6 3 2" xfId="2487"/>
    <cellStyle name="Normal 31 2 2 2 6 3 2 2" xfId="6347"/>
    <cellStyle name="Normal 31 2 2 2 6 3 2 3" xfId="11299"/>
    <cellStyle name="Normal 31 2 2 2 6 3 3" xfId="3715"/>
    <cellStyle name="Normal 31 2 2 2 6 3 3 2" xfId="7571"/>
    <cellStyle name="Normal 31 2 2 2 6 3 3 3" xfId="10057"/>
    <cellStyle name="Normal 31 2 2 2 6 3 4" xfId="5123"/>
    <cellStyle name="Normal 31 2 2 2 6 3 5" xfId="8815"/>
    <cellStyle name="Normal 31 2 2 2 6 4" xfId="1875"/>
    <cellStyle name="Normal 31 2 2 2 6 4 2" xfId="5735"/>
    <cellStyle name="Normal 31 2 2 2 6 4 3" xfId="10669"/>
    <cellStyle name="Normal 31 2 2 2 6 5" xfId="3102"/>
    <cellStyle name="Normal 31 2 2 2 6 5 2" xfId="6959"/>
    <cellStyle name="Normal 31 2 2 2 6 5 3" xfId="11875"/>
    <cellStyle name="Normal 31 2 2 2 6 6" xfId="4511"/>
    <cellStyle name="Normal 31 2 2 2 6 6 2" xfId="9427"/>
    <cellStyle name="Normal 31 2 2 2 6 7" xfId="8184"/>
    <cellStyle name="Normal 31 2 2 2 7" xfId="489"/>
    <cellStyle name="Normal 31 2 2 2 7 2" xfId="839"/>
    <cellStyle name="Normal 31 2 2 2 7 2 2" xfId="1477"/>
    <cellStyle name="Normal 31 2 2 2 7 2 2 2" xfId="2703"/>
    <cellStyle name="Normal 31 2 2 2 7 2 2 2 2" xfId="6563"/>
    <cellStyle name="Normal 31 2 2 2 7 2 2 2 3" xfId="11515"/>
    <cellStyle name="Normal 31 2 2 2 7 2 2 3" xfId="3931"/>
    <cellStyle name="Normal 31 2 2 2 7 2 2 3 2" xfId="7787"/>
    <cellStyle name="Normal 31 2 2 2 7 2 2 3 3" xfId="10273"/>
    <cellStyle name="Normal 31 2 2 2 7 2 2 4" xfId="5339"/>
    <cellStyle name="Normal 31 2 2 2 7 2 2 5" xfId="9031"/>
    <cellStyle name="Normal 31 2 2 2 7 2 3" xfId="2091"/>
    <cellStyle name="Normal 31 2 2 2 7 2 3 2" xfId="5951"/>
    <cellStyle name="Normal 31 2 2 2 7 2 3 3" xfId="10867"/>
    <cellStyle name="Normal 31 2 2 2 7 2 4" xfId="3319"/>
    <cellStyle name="Normal 31 2 2 2 7 2 4 2" xfId="7175"/>
    <cellStyle name="Normal 31 2 2 2 7 2 4 3" xfId="9625"/>
    <cellStyle name="Normal 31 2 2 2 7 2 5" xfId="4727"/>
    <cellStyle name="Normal 31 2 2 2 7 2 6" xfId="8382"/>
    <cellStyle name="Normal 31 2 2 2 7 3" xfId="1171"/>
    <cellStyle name="Normal 31 2 2 2 7 3 2" xfId="2397"/>
    <cellStyle name="Normal 31 2 2 2 7 3 2 2" xfId="6257"/>
    <cellStyle name="Normal 31 2 2 2 7 3 2 3" xfId="11209"/>
    <cellStyle name="Normal 31 2 2 2 7 3 3" xfId="3625"/>
    <cellStyle name="Normal 31 2 2 2 7 3 3 2" xfId="7481"/>
    <cellStyle name="Normal 31 2 2 2 7 3 3 3" xfId="9967"/>
    <cellStyle name="Normal 31 2 2 2 7 3 4" xfId="5033"/>
    <cellStyle name="Normal 31 2 2 2 7 3 5" xfId="8725"/>
    <cellStyle name="Normal 31 2 2 2 7 4" xfId="1785"/>
    <cellStyle name="Normal 31 2 2 2 7 4 2" xfId="5645"/>
    <cellStyle name="Normal 31 2 2 2 7 4 3" xfId="10579"/>
    <cellStyle name="Normal 31 2 2 2 7 5" xfId="3012"/>
    <cellStyle name="Normal 31 2 2 2 7 5 2" xfId="6869"/>
    <cellStyle name="Normal 31 2 2 2 7 5 3" xfId="12055"/>
    <cellStyle name="Normal 31 2 2 2 7 6" xfId="4421"/>
    <cellStyle name="Normal 31 2 2 2 7 6 2" xfId="9337"/>
    <cellStyle name="Normal 31 2 2 2 7 7" xfId="8094"/>
    <cellStyle name="Normal 31 2 2 2 8" xfId="801"/>
    <cellStyle name="Normal 31 2 2 2 8 2" xfId="1441"/>
    <cellStyle name="Normal 31 2 2 2 8 2 2" xfId="2667"/>
    <cellStyle name="Normal 31 2 2 2 8 2 2 2" xfId="6527"/>
    <cellStyle name="Normal 31 2 2 2 8 2 2 3" xfId="11479"/>
    <cellStyle name="Normal 31 2 2 2 8 2 3" xfId="3895"/>
    <cellStyle name="Normal 31 2 2 2 8 2 3 2" xfId="7751"/>
    <cellStyle name="Normal 31 2 2 2 8 2 3 3" xfId="10237"/>
    <cellStyle name="Normal 31 2 2 2 8 2 4" xfId="5303"/>
    <cellStyle name="Normal 31 2 2 2 8 2 5" xfId="8995"/>
    <cellStyle name="Normal 31 2 2 2 8 3" xfId="2055"/>
    <cellStyle name="Normal 31 2 2 2 8 3 2" xfId="5915"/>
    <cellStyle name="Normal 31 2 2 2 8 3 3" xfId="10849"/>
    <cellStyle name="Normal 31 2 2 2 8 4" xfId="3283"/>
    <cellStyle name="Normal 31 2 2 2 8 4 2" xfId="7139"/>
    <cellStyle name="Normal 31 2 2 2 8 4 3" xfId="9607"/>
    <cellStyle name="Normal 31 2 2 2 8 5" xfId="4691"/>
    <cellStyle name="Normal 31 2 2 2 8 6" xfId="8364"/>
    <cellStyle name="Normal 31 2 2 2 9" xfId="1135"/>
    <cellStyle name="Normal 31 2 2 2 9 2" xfId="2361"/>
    <cellStyle name="Normal 31 2 2 2 9 2 2" xfId="6221"/>
    <cellStyle name="Normal 31 2 2 2 9 2 3" xfId="11173"/>
    <cellStyle name="Normal 31 2 2 2 9 3" xfId="3589"/>
    <cellStyle name="Normal 31 2 2 2 9 3 2" xfId="7445"/>
    <cellStyle name="Normal 31 2 2 2 9 3 3" xfId="9931"/>
    <cellStyle name="Normal 31 2 2 2 9 4" xfId="4997"/>
    <cellStyle name="Normal 31 2 2 2 9 5" xfId="8689"/>
    <cellStyle name="Normal 31 2 2 3" xfId="470"/>
    <cellStyle name="Normal 31 2 2 3 10" xfId="4402"/>
    <cellStyle name="Normal 31 2 2 3 10 2" xfId="9318"/>
    <cellStyle name="Normal 31 2 2 3 11" xfId="8075"/>
    <cellStyle name="Normal 31 2 2 3 2" xfId="583"/>
    <cellStyle name="Normal 31 2 2 3 2 2" xfId="764"/>
    <cellStyle name="Normal 31 2 2 3 2 2 2" xfId="1114"/>
    <cellStyle name="Normal 31 2 2 3 2 2 2 2" xfId="1728"/>
    <cellStyle name="Normal 31 2 2 3 2 2 2 2 2" xfId="2954"/>
    <cellStyle name="Normal 31 2 2 3 2 2 2 2 2 2" xfId="6814"/>
    <cellStyle name="Normal 31 2 2 3 2 2 2 2 2 3" xfId="11766"/>
    <cellStyle name="Normal 31 2 2 3 2 2 2 2 3" xfId="4182"/>
    <cellStyle name="Normal 31 2 2 3 2 2 2 2 3 2" xfId="8038"/>
    <cellStyle name="Normal 31 2 2 3 2 2 2 2 3 3" xfId="10524"/>
    <cellStyle name="Normal 31 2 2 3 2 2 2 2 4" xfId="5590"/>
    <cellStyle name="Normal 31 2 2 3 2 2 2 2 5" xfId="9282"/>
    <cellStyle name="Normal 31 2 2 3 2 2 2 3" xfId="2342"/>
    <cellStyle name="Normal 31 2 2 3 2 2 2 3 2" xfId="6202"/>
    <cellStyle name="Normal 31 2 2 3 2 2 2 3 3" xfId="11118"/>
    <cellStyle name="Normal 31 2 2 3 2 2 2 4" xfId="3570"/>
    <cellStyle name="Normal 31 2 2 3 2 2 2 4 2" xfId="7426"/>
    <cellStyle name="Normal 31 2 2 3 2 2 2 4 3" xfId="9876"/>
    <cellStyle name="Normal 31 2 2 3 2 2 2 5" xfId="4978"/>
    <cellStyle name="Normal 31 2 2 3 2 2 2 6" xfId="8633"/>
    <cellStyle name="Normal 31 2 2 3 2 2 3" xfId="1422"/>
    <cellStyle name="Normal 31 2 2 3 2 2 3 2" xfId="2648"/>
    <cellStyle name="Normal 31 2 2 3 2 2 3 2 2" xfId="6508"/>
    <cellStyle name="Normal 31 2 2 3 2 2 3 2 3" xfId="11460"/>
    <cellStyle name="Normal 31 2 2 3 2 2 3 3" xfId="3876"/>
    <cellStyle name="Normal 31 2 2 3 2 2 3 3 2" xfId="7732"/>
    <cellStyle name="Normal 31 2 2 3 2 2 3 3 3" xfId="10218"/>
    <cellStyle name="Normal 31 2 2 3 2 2 3 4" xfId="5284"/>
    <cellStyle name="Normal 31 2 2 3 2 2 3 5" xfId="8976"/>
    <cellStyle name="Normal 31 2 2 3 2 2 4" xfId="2036"/>
    <cellStyle name="Normal 31 2 2 3 2 2 4 2" xfId="5896"/>
    <cellStyle name="Normal 31 2 2 3 2 2 4 3" xfId="10830"/>
    <cellStyle name="Normal 31 2 2 3 2 2 5" xfId="3263"/>
    <cellStyle name="Normal 31 2 2 3 2 2 5 2" xfId="7120"/>
    <cellStyle name="Normal 31 2 2 3 2 2 5 3" xfId="12036"/>
    <cellStyle name="Normal 31 2 2 3 2 2 6" xfId="4672"/>
    <cellStyle name="Normal 31 2 2 3 2 2 6 2" xfId="9588"/>
    <cellStyle name="Normal 31 2 2 3 2 2 7" xfId="8345"/>
    <cellStyle name="Normal 31 2 2 3 2 3" xfId="674"/>
    <cellStyle name="Normal 31 2 2 3 2 3 2" xfId="1024"/>
    <cellStyle name="Normal 31 2 2 3 2 3 2 2" xfId="1638"/>
    <cellStyle name="Normal 31 2 2 3 2 3 2 2 2" xfId="2864"/>
    <cellStyle name="Normal 31 2 2 3 2 3 2 2 2 2" xfId="6724"/>
    <cellStyle name="Normal 31 2 2 3 2 3 2 2 2 3" xfId="11676"/>
    <cellStyle name="Normal 31 2 2 3 2 3 2 2 3" xfId="4092"/>
    <cellStyle name="Normal 31 2 2 3 2 3 2 2 3 2" xfId="7948"/>
    <cellStyle name="Normal 31 2 2 3 2 3 2 2 3 3" xfId="10434"/>
    <cellStyle name="Normal 31 2 2 3 2 3 2 2 4" xfId="5500"/>
    <cellStyle name="Normal 31 2 2 3 2 3 2 2 5" xfId="9192"/>
    <cellStyle name="Normal 31 2 2 3 2 3 2 3" xfId="2252"/>
    <cellStyle name="Normal 31 2 2 3 2 3 2 3 2" xfId="6112"/>
    <cellStyle name="Normal 31 2 2 3 2 3 2 3 3" xfId="11028"/>
    <cellStyle name="Normal 31 2 2 3 2 3 2 4" xfId="3480"/>
    <cellStyle name="Normal 31 2 2 3 2 3 2 4 2" xfId="7336"/>
    <cellStyle name="Normal 31 2 2 3 2 3 2 4 3" xfId="9786"/>
    <cellStyle name="Normal 31 2 2 3 2 3 2 5" xfId="4888"/>
    <cellStyle name="Normal 31 2 2 3 2 3 2 6" xfId="8543"/>
    <cellStyle name="Normal 31 2 2 3 2 3 3" xfId="1332"/>
    <cellStyle name="Normal 31 2 2 3 2 3 3 2" xfId="2558"/>
    <cellStyle name="Normal 31 2 2 3 2 3 3 2 2" xfId="6418"/>
    <cellStyle name="Normal 31 2 2 3 2 3 3 2 3" xfId="11370"/>
    <cellStyle name="Normal 31 2 2 3 2 3 3 3" xfId="3786"/>
    <cellStyle name="Normal 31 2 2 3 2 3 3 3 2" xfId="7642"/>
    <cellStyle name="Normal 31 2 2 3 2 3 3 3 3" xfId="10128"/>
    <cellStyle name="Normal 31 2 2 3 2 3 3 4" xfId="5194"/>
    <cellStyle name="Normal 31 2 2 3 2 3 3 5" xfId="8886"/>
    <cellStyle name="Normal 31 2 2 3 2 3 4" xfId="1946"/>
    <cellStyle name="Normal 31 2 2 3 2 3 4 2" xfId="5806"/>
    <cellStyle name="Normal 31 2 2 3 2 3 4 3" xfId="10740"/>
    <cellStyle name="Normal 31 2 2 3 2 3 5" xfId="3173"/>
    <cellStyle name="Normal 31 2 2 3 2 3 5 2" xfId="7030"/>
    <cellStyle name="Normal 31 2 2 3 2 3 5 3" xfId="11946"/>
    <cellStyle name="Normal 31 2 2 3 2 3 6" xfId="4582"/>
    <cellStyle name="Normal 31 2 2 3 2 3 6 2" xfId="9498"/>
    <cellStyle name="Normal 31 2 2 3 2 3 7" xfId="8255"/>
    <cellStyle name="Normal 31 2 2 3 2 4" xfId="933"/>
    <cellStyle name="Normal 31 2 2 3 2 4 2" xfId="1548"/>
    <cellStyle name="Normal 31 2 2 3 2 4 2 2" xfId="2774"/>
    <cellStyle name="Normal 31 2 2 3 2 4 2 2 2" xfId="6634"/>
    <cellStyle name="Normal 31 2 2 3 2 4 2 2 3" xfId="11586"/>
    <cellStyle name="Normal 31 2 2 3 2 4 2 3" xfId="4002"/>
    <cellStyle name="Normal 31 2 2 3 2 4 2 3 2" xfId="7858"/>
    <cellStyle name="Normal 31 2 2 3 2 4 2 3 3" xfId="10344"/>
    <cellStyle name="Normal 31 2 2 3 2 4 2 4" xfId="5410"/>
    <cellStyle name="Normal 31 2 2 3 2 4 2 5" xfId="9102"/>
    <cellStyle name="Normal 31 2 2 3 2 4 3" xfId="2162"/>
    <cellStyle name="Normal 31 2 2 3 2 4 3 2" xfId="6022"/>
    <cellStyle name="Normal 31 2 2 3 2 4 3 3" xfId="10938"/>
    <cellStyle name="Normal 31 2 2 3 2 4 4" xfId="3390"/>
    <cellStyle name="Normal 31 2 2 3 2 4 4 2" xfId="7246"/>
    <cellStyle name="Normal 31 2 2 3 2 4 4 3" xfId="9696"/>
    <cellStyle name="Normal 31 2 2 3 2 4 5" xfId="4798"/>
    <cellStyle name="Normal 31 2 2 3 2 4 6" xfId="8453"/>
    <cellStyle name="Normal 31 2 2 3 2 5" xfId="1242"/>
    <cellStyle name="Normal 31 2 2 3 2 5 2" xfId="2468"/>
    <cellStyle name="Normal 31 2 2 3 2 5 2 2" xfId="6328"/>
    <cellStyle name="Normal 31 2 2 3 2 5 2 3" xfId="11280"/>
    <cellStyle name="Normal 31 2 2 3 2 5 3" xfId="3696"/>
    <cellStyle name="Normal 31 2 2 3 2 5 3 2" xfId="7552"/>
    <cellStyle name="Normal 31 2 2 3 2 5 3 3" xfId="10038"/>
    <cellStyle name="Normal 31 2 2 3 2 5 4" xfId="5104"/>
    <cellStyle name="Normal 31 2 2 3 2 5 5" xfId="8796"/>
    <cellStyle name="Normal 31 2 2 3 2 6" xfId="1856"/>
    <cellStyle name="Normal 31 2 2 3 2 6 2" xfId="5716"/>
    <cellStyle name="Normal 31 2 2 3 2 6 3" xfId="10650"/>
    <cellStyle name="Normal 31 2 2 3 2 7" xfId="3083"/>
    <cellStyle name="Normal 31 2 2 3 2 7 2" xfId="6940"/>
    <cellStyle name="Normal 31 2 2 3 2 7 3" xfId="11856"/>
    <cellStyle name="Normal 31 2 2 3 2 8" xfId="4492"/>
    <cellStyle name="Normal 31 2 2 3 2 8 2" xfId="9408"/>
    <cellStyle name="Normal 31 2 2 3 2 9" xfId="8165"/>
    <cellStyle name="Normal 31 2 2 3 3" xfId="728"/>
    <cellStyle name="Normal 31 2 2 3 3 2" xfId="1078"/>
    <cellStyle name="Normal 31 2 2 3 3 2 2" xfId="1692"/>
    <cellStyle name="Normal 31 2 2 3 3 2 2 2" xfId="2918"/>
    <cellStyle name="Normal 31 2 2 3 3 2 2 2 2" xfId="6778"/>
    <cellStyle name="Normal 31 2 2 3 3 2 2 2 3" xfId="11730"/>
    <cellStyle name="Normal 31 2 2 3 3 2 2 3" xfId="4146"/>
    <cellStyle name="Normal 31 2 2 3 3 2 2 3 2" xfId="8002"/>
    <cellStyle name="Normal 31 2 2 3 3 2 2 3 3" xfId="10488"/>
    <cellStyle name="Normal 31 2 2 3 3 2 2 4" xfId="5554"/>
    <cellStyle name="Normal 31 2 2 3 3 2 2 5" xfId="9246"/>
    <cellStyle name="Normal 31 2 2 3 3 2 3" xfId="2306"/>
    <cellStyle name="Normal 31 2 2 3 3 2 3 2" xfId="6166"/>
    <cellStyle name="Normal 31 2 2 3 3 2 3 3" xfId="11082"/>
    <cellStyle name="Normal 31 2 2 3 3 2 4" xfId="3534"/>
    <cellStyle name="Normal 31 2 2 3 3 2 4 2" xfId="7390"/>
    <cellStyle name="Normal 31 2 2 3 3 2 4 3" xfId="9840"/>
    <cellStyle name="Normal 31 2 2 3 3 2 5" xfId="4942"/>
    <cellStyle name="Normal 31 2 2 3 3 2 6" xfId="8597"/>
    <cellStyle name="Normal 31 2 2 3 3 3" xfId="1386"/>
    <cellStyle name="Normal 31 2 2 3 3 3 2" xfId="2612"/>
    <cellStyle name="Normal 31 2 2 3 3 3 2 2" xfId="6472"/>
    <cellStyle name="Normal 31 2 2 3 3 3 2 3" xfId="11424"/>
    <cellStyle name="Normal 31 2 2 3 3 3 3" xfId="3840"/>
    <cellStyle name="Normal 31 2 2 3 3 3 3 2" xfId="7696"/>
    <cellStyle name="Normal 31 2 2 3 3 3 3 3" xfId="10182"/>
    <cellStyle name="Normal 31 2 2 3 3 3 4" xfId="5248"/>
    <cellStyle name="Normal 31 2 2 3 3 3 5" xfId="8940"/>
    <cellStyle name="Normal 31 2 2 3 3 4" xfId="2000"/>
    <cellStyle name="Normal 31 2 2 3 3 4 2" xfId="5860"/>
    <cellStyle name="Normal 31 2 2 3 3 4 3" xfId="10794"/>
    <cellStyle name="Normal 31 2 2 3 3 5" xfId="3227"/>
    <cellStyle name="Normal 31 2 2 3 3 5 2" xfId="7084"/>
    <cellStyle name="Normal 31 2 2 3 3 5 3" xfId="12000"/>
    <cellStyle name="Normal 31 2 2 3 3 6" xfId="4636"/>
    <cellStyle name="Normal 31 2 2 3 3 6 2" xfId="9552"/>
    <cellStyle name="Normal 31 2 2 3 3 7" xfId="8309"/>
    <cellStyle name="Normal 31 2 2 3 4" xfId="638"/>
    <cellStyle name="Normal 31 2 2 3 4 2" xfId="988"/>
    <cellStyle name="Normal 31 2 2 3 4 2 2" xfId="1602"/>
    <cellStyle name="Normal 31 2 2 3 4 2 2 2" xfId="2828"/>
    <cellStyle name="Normal 31 2 2 3 4 2 2 2 2" xfId="6688"/>
    <cellStyle name="Normal 31 2 2 3 4 2 2 2 3" xfId="11640"/>
    <cellStyle name="Normal 31 2 2 3 4 2 2 3" xfId="4056"/>
    <cellStyle name="Normal 31 2 2 3 4 2 2 3 2" xfId="7912"/>
    <cellStyle name="Normal 31 2 2 3 4 2 2 3 3" xfId="10398"/>
    <cellStyle name="Normal 31 2 2 3 4 2 2 4" xfId="5464"/>
    <cellStyle name="Normal 31 2 2 3 4 2 2 5" xfId="9156"/>
    <cellStyle name="Normal 31 2 2 3 4 2 3" xfId="2216"/>
    <cellStyle name="Normal 31 2 2 3 4 2 3 2" xfId="6076"/>
    <cellStyle name="Normal 31 2 2 3 4 2 3 3" xfId="10992"/>
    <cellStyle name="Normal 31 2 2 3 4 2 4" xfId="3444"/>
    <cellStyle name="Normal 31 2 2 3 4 2 4 2" xfId="7300"/>
    <cellStyle name="Normal 31 2 2 3 4 2 4 3" xfId="9750"/>
    <cellStyle name="Normal 31 2 2 3 4 2 5" xfId="4852"/>
    <cellStyle name="Normal 31 2 2 3 4 2 6" xfId="8507"/>
    <cellStyle name="Normal 31 2 2 3 4 3" xfId="1296"/>
    <cellStyle name="Normal 31 2 2 3 4 3 2" xfId="2522"/>
    <cellStyle name="Normal 31 2 2 3 4 3 2 2" xfId="6382"/>
    <cellStyle name="Normal 31 2 2 3 4 3 2 3" xfId="11334"/>
    <cellStyle name="Normal 31 2 2 3 4 3 3" xfId="3750"/>
    <cellStyle name="Normal 31 2 2 3 4 3 3 2" xfId="7606"/>
    <cellStyle name="Normal 31 2 2 3 4 3 3 3" xfId="10092"/>
    <cellStyle name="Normal 31 2 2 3 4 3 4" xfId="5158"/>
    <cellStyle name="Normal 31 2 2 3 4 3 5" xfId="8850"/>
    <cellStyle name="Normal 31 2 2 3 4 4" xfId="1910"/>
    <cellStyle name="Normal 31 2 2 3 4 4 2" xfId="5770"/>
    <cellStyle name="Normal 31 2 2 3 4 4 3" xfId="10704"/>
    <cellStyle name="Normal 31 2 2 3 4 5" xfId="3137"/>
    <cellStyle name="Normal 31 2 2 3 4 5 2" xfId="6994"/>
    <cellStyle name="Normal 31 2 2 3 4 5 3" xfId="11910"/>
    <cellStyle name="Normal 31 2 2 3 4 6" xfId="4546"/>
    <cellStyle name="Normal 31 2 2 3 4 6 2" xfId="9462"/>
    <cellStyle name="Normal 31 2 2 3 4 7" xfId="8219"/>
    <cellStyle name="Normal 31 2 2 3 5" xfId="544"/>
    <cellStyle name="Normal 31 2 2 3 5 2" xfId="894"/>
    <cellStyle name="Normal 31 2 2 3 5 2 2" xfId="1512"/>
    <cellStyle name="Normal 31 2 2 3 5 2 2 2" xfId="2738"/>
    <cellStyle name="Normal 31 2 2 3 5 2 2 2 2" xfId="6598"/>
    <cellStyle name="Normal 31 2 2 3 5 2 2 2 3" xfId="11550"/>
    <cellStyle name="Normal 31 2 2 3 5 2 2 3" xfId="3966"/>
    <cellStyle name="Normal 31 2 2 3 5 2 2 3 2" xfId="7822"/>
    <cellStyle name="Normal 31 2 2 3 5 2 2 3 3" xfId="10308"/>
    <cellStyle name="Normal 31 2 2 3 5 2 2 4" xfId="5374"/>
    <cellStyle name="Normal 31 2 2 3 5 2 2 5" xfId="9066"/>
    <cellStyle name="Normal 31 2 2 3 5 2 3" xfId="2126"/>
    <cellStyle name="Normal 31 2 2 3 5 2 3 2" xfId="5986"/>
    <cellStyle name="Normal 31 2 2 3 5 2 3 3" xfId="11154"/>
    <cellStyle name="Normal 31 2 2 3 5 2 4" xfId="3354"/>
    <cellStyle name="Normal 31 2 2 3 5 2 4 2" xfId="7210"/>
    <cellStyle name="Normal 31 2 2 3 5 2 4 3" xfId="9912"/>
    <cellStyle name="Normal 31 2 2 3 5 2 5" xfId="4762"/>
    <cellStyle name="Normal 31 2 2 3 5 2 6" xfId="8670"/>
    <cellStyle name="Normal 31 2 2 3 5 3" xfId="1206"/>
    <cellStyle name="Normal 31 2 2 3 5 3 2" xfId="2432"/>
    <cellStyle name="Normal 31 2 2 3 5 3 2 2" xfId="6292"/>
    <cellStyle name="Normal 31 2 2 3 5 3 2 3" xfId="11244"/>
    <cellStyle name="Normal 31 2 2 3 5 3 3" xfId="3660"/>
    <cellStyle name="Normal 31 2 2 3 5 3 3 2" xfId="7516"/>
    <cellStyle name="Normal 31 2 2 3 5 3 3 3" xfId="10002"/>
    <cellStyle name="Normal 31 2 2 3 5 3 4" xfId="5068"/>
    <cellStyle name="Normal 31 2 2 3 5 3 5" xfId="8760"/>
    <cellStyle name="Normal 31 2 2 3 5 4" xfId="1820"/>
    <cellStyle name="Normal 31 2 2 3 5 4 2" xfId="5680"/>
    <cellStyle name="Normal 31 2 2 3 5 4 2 2" xfId="11136"/>
    <cellStyle name="Normal 31 2 2 3 5 4 3" xfId="9894"/>
    <cellStyle name="Normal 31 2 2 3 5 4 4" xfId="8651"/>
    <cellStyle name="Normal 31 2 2 3 5 5" xfId="3047"/>
    <cellStyle name="Normal 31 2 2 3 5 5 2" xfId="6904"/>
    <cellStyle name="Normal 31 2 2 3 5 5 3" xfId="10614"/>
    <cellStyle name="Normal 31 2 2 3 5 6" xfId="4456"/>
    <cellStyle name="Normal 31 2 2 3 5 6 2" xfId="9372"/>
    <cellStyle name="Normal 31 2 2 3 5 7" xfId="8129"/>
    <cellStyle name="Normal 31 2 2 3 6" xfId="820"/>
    <cellStyle name="Normal 31 2 2 3 6 2" xfId="1458"/>
    <cellStyle name="Normal 31 2 2 3 6 2 2" xfId="2684"/>
    <cellStyle name="Normal 31 2 2 3 6 2 2 2" xfId="6544"/>
    <cellStyle name="Normal 31 2 2 3 6 2 2 3" xfId="11496"/>
    <cellStyle name="Normal 31 2 2 3 6 2 3" xfId="3912"/>
    <cellStyle name="Normal 31 2 2 3 6 2 3 2" xfId="7768"/>
    <cellStyle name="Normal 31 2 2 3 6 2 3 3" xfId="10254"/>
    <cellStyle name="Normal 31 2 2 3 6 2 4" xfId="5320"/>
    <cellStyle name="Normal 31 2 2 3 6 2 5" xfId="9012"/>
    <cellStyle name="Normal 31 2 2 3 6 3" xfId="2072"/>
    <cellStyle name="Normal 31 2 2 3 6 3 2" xfId="5932"/>
    <cellStyle name="Normal 31 2 2 3 6 3 3" xfId="10902"/>
    <cellStyle name="Normal 31 2 2 3 6 4" xfId="3300"/>
    <cellStyle name="Normal 31 2 2 3 6 4 2" xfId="7156"/>
    <cellStyle name="Normal 31 2 2 3 6 4 3" xfId="9660"/>
    <cellStyle name="Normal 31 2 2 3 6 5" xfId="4708"/>
    <cellStyle name="Normal 31 2 2 3 6 6" xfId="8417"/>
    <cellStyle name="Normal 31 2 2 3 7" xfId="1152"/>
    <cellStyle name="Normal 31 2 2 3 7 2" xfId="2378"/>
    <cellStyle name="Normal 31 2 2 3 7 2 2" xfId="6238"/>
    <cellStyle name="Normal 31 2 2 3 7 2 3" xfId="11190"/>
    <cellStyle name="Normal 31 2 2 3 7 3" xfId="3606"/>
    <cellStyle name="Normal 31 2 2 3 7 3 2" xfId="7462"/>
    <cellStyle name="Normal 31 2 2 3 7 3 3" xfId="9948"/>
    <cellStyle name="Normal 31 2 2 3 7 4" xfId="5014"/>
    <cellStyle name="Normal 31 2 2 3 7 5" xfId="8706"/>
    <cellStyle name="Normal 31 2 2 3 8" xfId="1766"/>
    <cellStyle name="Normal 31 2 2 3 8 2" xfId="5626"/>
    <cellStyle name="Normal 31 2 2 3 8 3" xfId="10560"/>
    <cellStyle name="Normal 31 2 2 3 9" xfId="2993"/>
    <cellStyle name="Normal 31 2 2 3 9 2" xfId="6850"/>
    <cellStyle name="Normal 31 2 2 3 9 3" xfId="11820"/>
    <cellStyle name="Normal 31 2 2 4" xfId="565"/>
    <cellStyle name="Normal 31 2 2 4 2" xfId="746"/>
    <cellStyle name="Normal 31 2 2 4 2 2" xfId="1096"/>
    <cellStyle name="Normal 31 2 2 4 2 2 2" xfId="1710"/>
    <cellStyle name="Normal 31 2 2 4 2 2 2 2" xfId="2936"/>
    <cellStyle name="Normal 31 2 2 4 2 2 2 2 2" xfId="6796"/>
    <cellStyle name="Normal 31 2 2 4 2 2 2 2 3" xfId="11748"/>
    <cellStyle name="Normal 31 2 2 4 2 2 2 3" xfId="4164"/>
    <cellStyle name="Normal 31 2 2 4 2 2 2 3 2" xfId="8020"/>
    <cellStyle name="Normal 31 2 2 4 2 2 2 3 3" xfId="10506"/>
    <cellStyle name="Normal 31 2 2 4 2 2 2 4" xfId="5572"/>
    <cellStyle name="Normal 31 2 2 4 2 2 2 5" xfId="9264"/>
    <cellStyle name="Normal 31 2 2 4 2 2 3" xfId="2324"/>
    <cellStyle name="Normal 31 2 2 4 2 2 3 2" xfId="6184"/>
    <cellStyle name="Normal 31 2 2 4 2 2 3 3" xfId="11100"/>
    <cellStyle name="Normal 31 2 2 4 2 2 4" xfId="3552"/>
    <cellStyle name="Normal 31 2 2 4 2 2 4 2" xfId="7408"/>
    <cellStyle name="Normal 31 2 2 4 2 2 4 3" xfId="9858"/>
    <cellStyle name="Normal 31 2 2 4 2 2 5" xfId="4960"/>
    <cellStyle name="Normal 31 2 2 4 2 2 6" xfId="8615"/>
    <cellStyle name="Normal 31 2 2 4 2 3" xfId="1404"/>
    <cellStyle name="Normal 31 2 2 4 2 3 2" xfId="2630"/>
    <cellStyle name="Normal 31 2 2 4 2 3 2 2" xfId="6490"/>
    <cellStyle name="Normal 31 2 2 4 2 3 2 3" xfId="11442"/>
    <cellStyle name="Normal 31 2 2 4 2 3 3" xfId="3858"/>
    <cellStyle name="Normal 31 2 2 4 2 3 3 2" xfId="7714"/>
    <cellStyle name="Normal 31 2 2 4 2 3 3 3" xfId="10200"/>
    <cellStyle name="Normal 31 2 2 4 2 3 4" xfId="5266"/>
    <cellStyle name="Normal 31 2 2 4 2 3 5" xfId="8958"/>
    <cellStyle name="Normal 31 2 2 4 2 4" xfId="2018"/>
    <cellStyle name="Normal 31 2 2 4 2 4 2" xfId="5878"/>
    <cellStyle name="Normal 31 2 2 4 2 4 3" xfId="10812"/>
    <cellStyle name="Normal 31 2 2 4 2 5" xfId="3245"/>
    <cellStyle name="Normal 31 2 2 4 2 5 2" xfId="7102"/>
    <cellStyle name="Normal 31 2 2 4 2 5 3" xfId="12018"/>
    <cellStyle name="Normal 31 2 2 4 2 6" xfId="4654"/>
    <cellStyle name="Normal 31 2 2 4 2 6 2" xfId="9570"/>
    <cellStyle name="Normal 31 2 2 4 2 7" xfId="8327"/>
    <cellStyle name="Normal 31 2 2 4 3" xfId="656"/>
    <cellStyle name="Normal 31 2 2 4 3 2" xfId="1006"/>
    <cellStyle name="Normal 31 2 2 4 3 2 2" xfId="1620"/>
    <cellStyle name="Normal 31 2 2 4 3 2 2 2" xfId="2846"/>
    <cellStyle name="Normal 31 2 2 4 3 2 2 2 2" xfId="6706"/>
    <cellStyle name="Normal 31 2 2 4 3 2 2 2 3" xfId="11658"/>
    <cellStyle name="Normal 31 2 2 4 3 2 2 3" xfId="4074"/>
    <cellStyle name="Normal 31 2 2 4 3 2 2 3 2" xfId="7930"/>
    <cellStyle name="Normal 31 2 2 4 3 2 2 3 3" xfId="10416"/>
    <cellStyle name="Normal 31 2 2 4 3 2 2 4" xfId="5482"/>
    <cellStyle name="Normal 31 2 2 4 3 2 2 5" xfId="9174"/>
    <cellStyle name="Normal 31 2 2 4 3 2 3" xfId="2234"/>
    <cellStyle name="Normal 31 2 2 4 3 2 3 2" xfId="6094"/>
    <cellStyle name="Normal 31 2 2 4 3 2 3 3" xfId="11010"/>
    <cellStyle name="Normal 31 2 2 4 3 2 4" xfId="3462"/>
    <cellStyle name="Normal 31 2 2 4 3 2 4 2" xfId="7318"/>
    <cellStyle name="Normal 31 2 2 4 3 2 4 3" xfId="9768"/>
    <cellStyle name="Normal 31 2 2 4 3 2 5" xfId="4870"/>
    <cellStyle name="Normal 31 2 2 4 3 2 6" xfId="8525"/>
    <cellStyle name="Normal 31 2 2 4 3 3" xfId="1314"/>
    <cellStyle name="Normal 31 2 2 4 3 3 2" xfId="2540"/>
    <cellStyle name="Normal 31 2 2 4 3 3 2 2" xfId="6400"/>
    <cellStyle name="Normal 31 2 2 4 3 3 2 3" xfId="11352"/>
    <cellStyle name="Normal 31 2 2 4 3 3 3" xfId="3768"/>
    <cellStyle name="Normal 31 2 2 4 3 3 3 2" xfId="7624"/>
    <cellStyle name="Normal 31 2 2 4 3 3 3 3" xfId="10110"/>
    <cellStyle name="Normal 31 2 2 4 3 3 4" xfId="5176"/>
    <cellStyle name="Normal 31 2 2 4 3 3 5" xfId="8868"/>
    <cellStyle name="Normal 31 2 2 4 3 4" xfId="1928"/>
    <cellStyle name="Normal 31 2 2 4 3 4 2" xfId="5788"/>
    <cellStyle name="Normal 31 2 2 4 3 4 3" xfId="10722"/>
    <cellStyle name="Normal 31 2 2 4 3 5" xfId="3155"/>
    <cellStyle name="Normal 31 2 2 4 3 5 2" xfId="7012"/>
    <cellStyle name="Normal 31 2 2 4 3 5 3" xfId="11928"/>
    <cellStyle name="Normal 31 2 2 4 3 6" xfId="4564"/>
    <cellStyle name="Normal 31 2 2 4 3 6 2" xfId="9480"/>
    <cellStyle name="Normal 31 2 2 4 3 7" xfId="8237"/>
    <cellStyle name="Normal 31 2 2 4 4" xfId="915"/>
    <cellStyle name="Normal 31 2 2 4 4 2" xfId="1530"/>
    <cellStyle name="Normal 31 2 2 4 4 2 2" xfId="2756"/>
    <cellStyle name="Normal 31 2 2 4 4 2 2 2" xfId="6616"/>
    <cellStyle name="Normal 31 2 2 4 4 2 2 3" xfId="11568"/>
    <cellStyle name="Normal 31 2 2 4 4 2 3" xfId="3984"/>
    <cellStyle name="Normal 31 2 2 4 4 2 3 2" xfId="7840"/>
    <cellStyle name="Normal 31 2 2 4 4 2 3 3" xfId="10326"/>
    <cellStyle name="Normal 31 2 2 4 4 2 4" xfId="5392"/>
    <cellStyle name="Normal 31 2 2 4 4 2 5" xfId="9084"/>
    <cellStyle name="Normal 31 2 2 4 4 3" xfId="2144"/>
    <cellStyle name="Normal 31 2 2 4 4 3 2" xfId="6004"/>
    <cellStyle name="Normal 31 2 2 4 4 3 3" xfId="10920"/>
    <cellStyle name="Normal 31 2 2 4 4 4" xfId="3372"/>
    <cellStyle name="Normal 31 2 2 4 4 4 2" xfId="7228"/>
    <cellStyle name="Normal 31 2 2 4 4 4 3" xfId="9678"/>
    <cellStyle name="Normal 31 2 2 4 4 5" xfId="4780"/>
    <cellStyle name="Normal 31 2 2 4 4 6" xfId="8435"/>
    <cellStyle name="Normal 31 2 2 4 5" xfId="1224"/>
    <cellStyle name="Normal 31 2 2 4 5 2" xfId="2450"/>
    <cellStyle name="Normal 31 2 2 4 5 2 2" xfId="6310"/>
    <cellStyle name="Normal 31 2 2 4 5 2 3" xfId="11262"/>
    <cellStyle name="Normal 31 2 2 4 5 3" xfId="3678"/>
    <cellStyle name="Normal 31 2 2 4 5 3 2" xfId="7534"/>
    <cellStyle name="Normal 31 2 2 4 5 3 3" xfId="10020"/>
    <cellStyle name="Normal 31 2 2 4 5 4" xfId="5086"/>
    <cellStyle name="Normal 31 2 2 4 5 5" xfId="8778"/>
    <cellStyle name="Normal 31 2 2 4 6" xfId="1838"/>
    <cellStyle name="Normal 31 2 2 4 6 2" xfId="5698"/>
    <cellStyle name="Normal 31 2 2 4 6 3" xfId="10632"/>
    <cellStyle name="Normal 31 2 2 4 7" xfId="3065"/>
    <cellStyle name="Normal 31 2 2 4 7 2" xfId="6922"/>
    <cellStyle name="Normal 31 2 2 4 7 3" xfId="11838"/>
    <cellStyle name="Normal 31 2 2 4 8" xfId="4474"/>
    <cellStyle name="Normal 31 2 2 4 8 2" xfId="9390"/>
    <cellStyle name="Normal 31 2 2 4 9" xfId="8147"/>
    <cellStyle name="Normal 31 2 2 5" xfId="508"/>
    <cellStyle name="Normal 31 2 2 5 2" xfId="710"/>
    <cellStyle name="Normal 31 2 2 5 2 2" xfId="1060"/>
    <cellStyle name="Normal 31 2 2 5 2 2 2" xfId="1674"/>
    <cellStyle name="Normal 31 2 2 5 2 2 2 2" xfId="2900"/>
    <cellStyle name="Normal 31 2 2 5 2 2 2 2 2" xfId="6760"/>
    <cellStyle name="Normal 31 2 2 5 2 2 2 2 3" xfId="11712"/>
    <cellStyle name="Normal 31 2 2 5 2 2 2 3" xfId="4128"/>
    <cellStyle name="Normal 31 2 2 5 2 2 2 3 2" xfId="7984"/>
    <cellStyle name="Normal 31 2 2 5 2 2 2 3 3" xfId="10470"/>
    <cellStyle name="Normal 31 2 2 5 2 2 2 4" xfId="5536"/>
    <cellStyle name="Normal 31 2 2 5 2 2 2 5" xfId="9228"/>
    <cellStyle name="Normal 31 2 2 5 2 2 3" xfId="2288"/>
    <cellStyle name="Normal 31 2 2 5 2 2 3 2" xfId="6148"/>
    <cellStyle name="Normal 31 2 2 5 2 2 3 3" xfId="11064"/>
    <cellStyle name="Normal 31 2 2 5 2 2 4" xfId="3516"/>
    <cellStyle name="Normal 31 2 2 5 2 2 4 2" xfId="7372"/>
    <cellStyle name="Normal 31 2 2 5 2 2 4 3" xfId="9822"/>
    <cellStyle name="Normal 31 2 2 5 2 2 5" xfId="4924"/>
    <cellStyle name="Normal 31 2 2 5 2 2 6" xfId="8579"/>
    <cellStyle name="Normal 31 2 2 5 2 3" xfId="1368"/>
    <cellStyle name="Normal 31 2 2 5 2 3 2" xfId="2594"/>
    <cellStyle name="Normal 31 2 2 5 2 3 2 2" xfId="6454"/>
    <cellStyle name="Normal 31 2 2 5 2 3 2 3" xfId="11406"/>
    <cellStyle name="Normal 31 2 2 5 2 3 3" xfId="3822"/>
    <cellStyle name="Normal 31 2 2 5 2 3 3 2" xfId="7678"/>
    <cellStyle name="Normal 31 2 2 5 2 3 3 3" xfId="10164"/>
    <cellStyle name="Normal 31 2 2 5 2 3 4" xfId="5230"/>
    <cellStyle name="Normal 31 2 2 5 2 3 5" xfId="8922"/>
    <cellStyle name="Normal 31 2 2 5 2 4" xfId="1982"/>
    <cellStyle name="Normal 31 2 2 5 2 4 2" xfId="5842"/>
    <cellStyle name="Normal 31 2 2 5 2 4 3" xfId="10776"/>
    <cellStyle name="Normal 31 2 2 5 2 5" xfId="3209"/>
    <cellStyle name="Normal 31 2 2 5 2 5 2" xfId="7066"/>
    <cellStyle name="Normal 31 2 2 5 2 5 3" xfId="11982"/>
    <cellStyle name="Normal 31 2 2 5 2 6" xfId="4618"/>
    <cellStyle name="Normal 31 2 2 5 2 6 2" xfId="9534"/>
    <cellStyle name="Normal 31 2 2 5 2 7" xfId="8291"/>
    <cellStyle name="Normal 31 2 2 5 3" xfId="620"/>
    <cellStyle name="Normal 31 2 2 5 3 2" xfId="970"/>
    <cellStyle name="Normal 31 2 2 5 3 2 2" xfId="1584"/>
    <cellStyle name="Normal 31 2 2 5 3 2 2 2" xfId="2810"/>
    <cellStyle name="Normal 31 2 2 5 3 2 2 2 2" xfId="6670"/>
    <cellStyle name="Normal 31 2 2 5 3 2 2 2 3" xfId="11622"/>
    <cellStyle name="Normal 31 2 2 5 3 2 2 3" xfId="4038"/>
    <cellStyle name="Normal 31 2 2 5 3 2 2 3 2" xfId="7894"/>
    <cellStyle name="Normal 31 2 2 5 3 2 2 3 3" xfId="10380"/>
    <cellStyle name="Normal 31 2 2 5 3 2 2 4" xfId="5446"/>
    <cellStyle name="Normal 31 2 2 5 3 2 2 5" xfId="9138"/>
    <cellStyle name="Normal 31 2 2 5 3 2 3" xfId="2198"/>
    <cellStyle name="Normal 31 2 2 5 3 2 3 2" xfId="6058"/>
    <cellStyle name="Normal 31 2 2 5 3 2 3 3" xfId="10974"/>
    <cellStyle name="Normal 31 2 2 5 3 2 4" xfId="3426"/>
    <cellStyle name="Normal 31 2 2 5 3 2 4 2" xfId="7282"/>
    <cellStyle name="Normal 31 2 2 5 3 2 4 3" xfId="9732"/>
    <cellStyle name="Normal 31 2 2 5 3 2 5" xfId="4834"/>
    <cellStyle name="Normal 31 2 2 5 3 2 6" xfId="8489"/>
    <cellStyle name="Normal 31 2 2 5 3 3" xfId="1278"/>
    <cellStyle name="Normal 31 2 2 5 3 3 2" xfId="2504"/>
    <cellStyle name="Normal 31 2 2 5 3 3 2 2" xfId="6364"/>
    <cellStyle name="Normal 31 2 2 5 3 3 2 3" xfId="11316"/>
    <cellStyle name="Normal 31 2 2 5 3 3 3" xfId="3732"/>
    <cellStyle name="Normal 31 2 2 5 3 3 3 2" xfId="7588"/>
    <cellStyle name="Normal 31 2 2 5 3 3 3 3" xfId="10074"/>
    <cellStyle name="Normal 31 2 2 5 3 3 4" xfId="5140"/>
    <cellStyle name="Normal 31 2 2 5 3 3 5" xfId="8832"/>
    <cellStyle name="Normal 31 2 2 5 3 4" xfId="1892"/>
    <cellStyle name="Normal 31 2 2 5 3 4 2" xfId="5752"/>
    <cellStyle name="Normal 31 2 2 5 3 4 3" xfId="10686"/>
    <cellStyle name="Normal 31 2 2 5 3 5" xfId="3119"/>
    <cellStyle name="Normal 31 2 2 5 3 5 2" xfId="6976"/>
    <cellStyle name="Normal 31 2 2 5 3 5 3" xfId="11892"/>
    <cellStyle name="Normal 31 2 2 5 3 6" xfId="4528"/>
    <cellStyle name="Normal 31 2 2 5 3 6 2" xfId="9444"/>
    <cellStyle name="Normal 31 2 2 5 3 7" xfId="8201"/>
    <cellStyle name="Normal 31 2 2 5 4" xfId="858"/>
    <cellStyle name="Normal 31 2 2 5 4 2" xfId="1494"/>
    <cellStyle name="Normal 31 2 2 5 4 2 2" xfId="2720"/>
    <cellStyle name="Normal 31 2 2 5 4 2 2 2" xfId="6580"/>
    <cellStyle name="Normal 31 2 2 5 4 2 2 3" xfId="11532"/>
    <cellStyle name="Normal 31 2 2 5 4 2 3" xfId="3948"/>
    <cellStyle name="Normal 31 2 2 5 4 2 3 2" xfId="7804"/>
    <cellStyle name="Normal 31 2 2 5 4 2 3 3" xfId="10290"/>
    <cellStyle name="Normal 31 2 2 5 4 2 4" xfId="5356"/>
    <cellStyle name="Normal 31 2 2 5 4 2 5" xfId="9048"/>
    <cellStyle name="Normal 31 2 2 5 4 3" xfId="2108"/>
    <cellStyle name="Normal 31 2 2 5 4 3 2" xfId="5968"/>
    <cellStyle name="Normal 31 2 2 5 4 3 3" xfId="10884"/>
    <cellStyle name="Normal 31 2 2 5 4 4" xfId="3336"/>
    <cellStyle name="Normal 31 2 2 5 4 4 2" xfId="7192"/>
    <cellStyle name="Normal 31 2 2 5 4 4 3" xfId="9642"/>
    <cellStyle name="Normal 31 2 2 5 4 5" xfId="4744"/>
    <cellStyle name="Normal 31 2 2 5 4 6" xfId="8399"/>
    <cellStyle name="Normal 31 2 2 5 5" xfId="1188"/>
    <cellStyle name="Normal 31 2 2 5 5 2" xfId="2414"/>
    <cellStyle name="Normal 31 2 2 5 5 2 2" xfId="6274"/>
    <cellStyle name="Normal 31 2 2 5 5 2 3" xfId="11226"/>
    <cellStyle name="Normal 31 2 2 5 5 3" xfId="3642"/>
    <cellStyle name="Normal 31 2 2 5 5 3 2" xfId="7498"/>
    <cellStyle name="Normal 31 2 2 5 5 3 3" xfId="9984"/>
    <cellStyle name="Normal 31 2 2 5 5 4" xfId="5050"/>
    <cellStyle name="Normal 31 2 2 5 5 5" xfId="8742"/>
    <cellStyle name="Normal 31 2 2 5 6" xfId="1802"/>
    <cellStyle name="Normal 31 2 2 5 6 2" xfId="5662"/>
    <cellStyle name="Normal 31 2 2 5 6 3" xfId="10596"/>
    <cellStyle name="Normal 31 2 2 5 7" xfId="3029"/>
    <cellStyle name="Normal 31 2 2 5 7 2" xfId="6886"/>
    <cellStyle name="Normal 31 2 2 5 7 3" xfId="11802"/>
    <cellStyle name="Normal 31 2 2 5 8" xfId="4438"/>
    <cellStyle name="Normal 31 2 2 5 8 2" xfId="9354"/>
    <cellStyle name="Normal 31 2 2 5 9" xfId="8111"/>
    <cellStyle name="Normal 31 2 2 6" xfId="692"/>
    <cellStyle name="Normal 31 2 2 6 2" xfId="1042"/>
    <cellStyle name="Normal 31 2 2 6 2 2" xfId="1656"/>
    <cellStyle name="Normal 31 2 2 6 2 2 2" xfId="2882"/>
    <cellStyle name="Normal 31 2 2 6 2 2 2 2" xfId="6742"/>
    <cellStyle name="Normal 31 2 2 6 2 2 2 3" xfId="11694"/>
    <cellStyle name="Normal 31 2 2 6 2 2 3" xfId="4110"/>
    <cellStyle name="Normal 31 2 2 6 2 2 3 2" xfId="7966"/>
    <cellStyle name="Normal 31 2 2 6 2 2 3 3" xfId="10452"/>
    <cellStyle name="Normal 31 2 2 6 2 2 4" xfId="5518"/>
    <cellStyle name="Normal 31 2 2 6 2 2 5" xfId="9210"/>
    <cellStyle name="Normal 31 2 2 6 2 3" xfId="2270"/>
    <cellStyle name="Normal 31 2 2 6 2 3 2" xfId="6130"/>
    <cellStyle name="Normal 31 2 2 6 2 3 3" xfId="11046"/>
    <cellStyle name="Normal 31 2 2 6 2 4" xfId="3498"/>
    <cellStyle name="Normal 31 2 2 6 2 4 2" xfId="7354"/>
    <cellStyle name="Normal 31 2 2 6 2 4 3" xfId="9804"/>
    <cellStyle name="Normal 31 2 2 6 2 5" xfId="4906"/>
    <cellStyle name="Normal 31 2 2 6 2 6" xfId="8561"/>
    <cellStyle name="Normal 31 2 2 6 3" xfId="1350"/>
    <cellStyle name="Normal 31 2 2 6 3 2" xfId="2576"/>
    <cellStyle name="Normal 31 2 2 6 3 2 2" xfId="6436"/>
    <cellStyle name="Normal 31 2 2 6 3 2 3" xfId="11388"/>
    <cellStyle name="Normal 31 2 2 6 3 3" xfId="3804"/>
    <cellStyle name="Normal 31 2 2 6 3 3 2" xfId="7660"/>
    <cellStyle name="Normal 31 2 2 6 3 3 3" xfId="10146"/>
    <cellStyle name="Normal 31 2 2 6 3 4" xfId="5212"/>
    <cellStyle name="Normal 31 2 2 6 3 5" xfId="8904"/>
    <cellStyle name="Normal 31 2 2 6 4" xfId="1964"/>
    <cellStyle name="Normal 31 2 2 6 4 2" xfId="5824"/>
    <cellStyle name="Normal 31 2 2 6 4 3" xfId="10758"/>
    <cellStyle name="Normal 31 2 2 6 5" xfId="3191"/>
    <cellStyle name="Normal 31 2 2 6 5 2" xfId="7048"/>
    <cellStyle name="Normal 31 2 2 6 5 3" xfId="11964"/>
    <cellStyle name="Normal 31 2 2 6 6" xfId="4600"/>
    <cellStyle name="Normal 31 2 2 6 6 2" xfId="9516"/>
    <cellStyle name="Normal 31 2 2 6 7" xfId="8273"/>
    <cellStyle name="Normal 31 2 2 7" xfId="602"/>
    <cellStyle name="Normal 31 2 2 7 2" xfId="952"/>
    <cellStyle name="Normal 31 2 2 7 2 2" xfId="1566"/>
    <cellStyle name="Normal 31 2 2 7 2 2 2" xfId="2792"/>
    <cellStyle name="Normal 31 2 2 7 2 2 2 2" xfId="6652"/>
    <cellStyle name="Normal 31 2 2 7 2 2 2 3" xfId="11604"/>
    <cellStyle name="Normal 31 2 2 7 2 2 3" xfId="4020"/>
    <cellStyle name="Normal 31 2 2 7 2 2 3 2" xfId="7876"/>
    <cellStyle name="Normal 31 2 2 7 2 2 3 3" xfId="10362"/>
    <cellStyle name="Normal 31 2 2 7 2 2 4" xfId="5428"/>
    <cellStyle name="Normal 31 2 2 7 2 2 5" xfId="9120"/>
    <cellStyle name="Normal 31 2 2 7 2 3" xfId="2180"/>
    <cellStyle name="Normal 31 2 2 7 2 3 2" xfId="6040"/>
    <cellStyle name="Normal 31 2 2 7 2 3 3" xfId="10956"/>
    <cellStyle name="Normal 31 2 2 7 2 4" xfId="3408"/>
    <cellStyle name="Normal 31 2 2 7 2 4 2" xfId="7264"/>
    <cellStyle name="Normal 31 2 2 7 2 4 3" xfId="9714"/>
    <cellStyle name="Normal 31 2 2 7 2 5" xfId="4816"/>
    <cellStyle name="Normal 31 2 2 7 2 6" xfId="8471"/>
    <cellStyle name="Normal 31 2 2 7 3" xfId="1260"/>
    <cellStyle name="Normal 31 2 2 7 3 2" xfId="2486"/>
    <cellStyle name="Normal 31 2 2 7 3 2 2" xfId="6346"/>
    <cellStyle name="Normal 31 2 2 7 3 2 3" xfId="11298"/>
    <cellStyle name="Normal 31 2 2 7 3 3" xfId="3714"/>
    <cellStyle name="Normal 31 2 2 7 3 3 2" xfId="7570"/>
    <cellStyle name="Normal 31 2 2 7 3 3 3" xfId="10056"/>
    <cellStyle name="Normal 31 2 2 7 3 4" xfId="5122"/>
    <cellStyle name="Normal 31 2 2 7 3 5" xfId="8814"/>
    <cellStyle name="Normal 31 2 2 7 4" xfId="1874"/>
    <cellStyle name="Normal 31 2 2 7 4 2" xfId="5734"/>
    <cellStyle name="Normal 31 2 2 7 4 3" xfId="10668"/>
    <cellStyle name="Normal 31 2 2 7 5" xfId="3101"/>
    <cellStyle name="Normal 31 2 2 7 5 2" xfId="6958"/>
    <cellStyle name="Normal 31 2 2 7 5 3" xfId="11874"/>
    <cellStyle name="Normal 31 2 2 7 6" xfId="4510"/>
    <cellStyle name="Normal 31 2 2 7 6 2" xfId="9426"/>
    <cellStyle name="Normal 31 2 2 7 7" xfId="8183"/>
    <cellStyle name="Normal 31 2 2 8" xfId="488"/>
    <cellStyle name="Normal 31 2 2 8 2" xfId="838"/>
    <cellStyle name="Normal 31 2 2 8 2 2" xfId="1476"/>
    <cellStyle name="Normal 31 2 2 8 2 2 2" xfId="2702"/>
    <cellStyle name="Normal 31 2 2 8 2 2 2 2" xfId="6562"/>
    <cellStyle name="Normal 31 2 2 8 2 2 2 3" xfId="11514"/>
    <cellStyle name="Normal 31 2 2 8 2 2 3" xfId="3930"/>
    <cellStyle name="Normal 31 2 2 8 2 2 3 2" xfId="7786"/>
    <cellStyle name="Normal 31 2 2 8 2 2 3 3" xfId="10272"/>
    <cellStyle name="Normal 31 2 2 8 2 2 4" xfId="5338"/>
    <cellStyle name="Normal 31 2 2 8 2 2 5" xfId="9030"/>
    <cellStyle name="Normal 31 2 2 8 2 3" xfId="2090"/>
    <cellStyle name="Normal 31 2 2 8 2 3 2" xfId="5950"/>
    <cellStyle name="Normal 31 2 2 8 2 3 3" xfId="10866"/>
    <cellStyle name="Normal 31 2 2 8 2 4" xfId="3318"/>
    <cellStyle name="Normal 31 2 2 8 2 4 2" xfId="7174"/>
    <cellStyle name="Normal 31 2 2 8 2 4 3" xfId="9624"/>
    <cellStyle name="Normal 31 2 2 8 2 5" xfId="4726"/>
    <cellStyle name="Normal 31 2 2 8 2 6" xfId="8381"/>
    <cellStyle name="Normal 31 2 2 8 3" xfId="1170"/>
    <cellStyle name="Normal 31 2 2 8 3 2" xfId="2396"/>
    <cellStyle name="Normal 31 2 2 8 3 2 2" xfId="6256"/>
    <cellStyle name="Normal 31 2 2 8 3 2 3" xfId="11208"/>
    <cellStyle name="Normal 31 2 2 8 3 3" xfId="3624"/>
    <cellStyle name="Normal 31 2 2 8 3 3 2" xfId="7480"/>
    <cellStyle name="Normal 31 2 2 8 3 3 3" xfId="9966"/>
    <cellStyle name="Normal 31 2 2 8 3 4" xfId="5032"/>
    <cellStyle name="Normal 31 2 2 8 3 5" xfId="8724"/>
    <cellStyle name="Normal 31 2 2 8 4" xfId="1784"/>
    <cellStyle name="Normal 31 2 2 8 4 2" xfId="5644"/>
    <cellStyle name="Normal 31 2 2 8 4 3" xfId="10578"/>
    <cellStyle name="Normal 31 2 2 8 5" xfId="3011"/>
    <cellStyle name="Normal 31 2 2 8 5 2" xfId="6868"/>
    <cellStyle name="Normal 31 2 2 8 5 3" xfId="12054"/>
    <cellStyle name="Normal 31 2 2 8 6" xfId="4420"/>
    <cellStyle name="Normal 31 2 2 8 6 2" xfId="9336"/>
    <cellStyle name="Normal 31 2 2 8 7" xfId="8093"/>
    <cellStyle name="Normal 31 2 2 9" xfId="800"/>
    <cellStyle name="Normal 31 2 2 9 2" xfId="1440"/>
    <cellStyle name="Normal 31 2 2 9 2 2" xfId="2666"/>
    <cellStyle name="Normal 31 2 2 9 2 2 2" xfId="6526"/>
    <cellStyle name="Normal 31 2 2 9 2 2 3" xfId="11478"/>
    <cellStyle name="Normal 31 2 2 9 2 3" xfId="3894"/>
    <cellStyle name="Normal 31 2 2 9 2 3 2" xfId="7750"/>
    <cellStyle name="Normal 31 2 2 9 2 3 3" xfId="10236"/>
    <cellStyle name="Normal 31 2 2 9 2 4" xfId="5302"/>
    <cellStyle name="Normal 31 2 2 9 2 5" xfId="8994"/>
    <cellStyle name="Normal 31 2 2 9 3" xfId="2054"/>
    <cellStyle name="Normal 31 2 2 9 3 2" xfId="5914"/>
    <cellStyle name="Normal 31 2 2 9 3 3" xfId="10848"/>
    <cellStyle name="Normal 31 2 2 9 4" xfId="3282"/>
    <cellStyle name="Normal 31 2 2 9 4 2" xfId="7138"/>
    <cellStyle name="Normal 31 2 2 9 4 3" xfId="9606"/>
    <cellStyle name="Normal 31 2 2 9 5" xfId="4690"/>
    <cellStyle name="Normal 31 2 2 9 6" xfId="8363"/>
    <cellStyle name="Normal 31 2 3" xfId="451"/>
    <cellStyle name="Normal 31 2 3 10" xfId="1750"/>
    <cellStyle name="Normal 31 2 3 10 2" xfId="5610"/>
    <cellStyle name="Normal 31 2 3 10 3" xfId="10544"/>
    <cellStyle name="Normal 31 2 3 11" xfId="2977"/>
    <cellStyle name="Normal 31 2 3 11 2" xfId="6834"/>
    <cellStyle name="Normal 31 2 3 11 3" xfId="11786"/>
    <cellStyle name="Normal 31 2 3 12" xfId="4386"/>
    <cellStyle name="Normal 31 2 3 12 2" xfId="9302"/>
    <cellStyle name="Normal 31 2 3 13" xfId="8059"/>
    <cellStyle name="Normal 31 2 3 2" xfId="472"/>
    <cellStyle name="Normal 31 2 3 2 10" xfId="4404"/>
    <cellStyle name="Normal 31 2 3 2 10 2" xfId="9320"/>
    <cellStyle name="Normal 31 2 3 2 11" xfId="8077"/>
    <cellStyle name="Normal 31 2 3 2 2" xfId="585"/>
    <cellStyle name="Normal 31 2 3 2 2 2" xfId="766"/>
    <cellStyle name="Normal 31 2 3 2 2 2 2" xfId="1116"/>
    <cellStyle name="Normal 31 2 3 2 2 2 2 2" xfId="1730"/>
    <cellStyle name="Normal 31 2 3 2 2 2 2 2 2" xfId="2956"/>
    <cellStyle name="Normal 31 2 3 2 2 2 2 2 2 2" xfId="6816"/>
    <cellStyle name="Normal 31 2 3 2 2 2 2 2 2 3" xfId="11768"/>
    <cellStyle name="Normal 31 2 3 2 2 2 2 2 3" xfId="4184"/>
    <cellStyle name="Normal 31 2 3 2 2 2 2 2 3 2" xfId="8040"/>
    <cellStyle name="Normal 31 2 3 2 2 2 2 2 3 3" xfId="10526"/>
    <cellStyle name="Normal 31 2 3 2 2 2 2 2 4" xfId="5592"/>
    <cellStyle name="Normal 31 2 3 2 2 2 2 2 5" xfId="9284"/>
    <cellStyle name="Normal 31 2 3 2 2 2 2 3" xfId="2344"/>
    <cellStyle name="Normal 31 2 3 2 2 2 2 3 2" xfId="6204"/>
    <cellStyle name="Normal 31 2 3 2 2 2 2 3 3" xfId="11120"/>
    <cellStyle name="Normal 31 2 3 2 2 2 2 4" xfId="3572"/>
    <cellStyle name="Normal 31 2 3 2 2 2 2 4 2" xfId="7428"/>
    <cellStyle name="Normal 31 2 3 2 2 2 2 4 3" xfId="9878"/>
    <cellStyle name="Normal 31 2 3 2 2 2 2 5" xfId="4980"/>
    <cellStyle name="Normal 31 2 3 2 2 2 2 6" xfId="8635"/>
    <cellStyle name="Normal 31 2 3 2 2 2 3" xfId="1424"/>
    <cellStyle name="Normal 31 2 3 2 2 2 3 2" xfId="2650"/>
    <cellStyle name="Normal 31 2 3 2 2 2 3 2 2" xfId="6510"/>
    <cellStyle name="Normal 31 2 3 2 2 2 3 2 3" xfId="11462"/>
    <cellStyle name="Normal 31 2 3 2 2 2 3 3" xfId="3878"/>
    <cellStyle name="Normal 31 2 3 2 2 2 3 3 2" xfId="7734"/>
    <cellStyle name="Normal 31 2 3 2 2 2 3 3 3" xfId="10220"/>
    <cellStyle name="Normal 31 2 3 2 2 2 3 4" xfId="5286"/>
    <cellStyle name="Normal 31 2 3 2 2 2 3 5" xfId="8978"/>
    <cellStyle name="Normal 31 2 3 2 2 2 4" xfId="2038"/>
    <cellStyle name="Normal 31 2 3 2 2 2 4 2" xfId="5898"/>
    <cellStyle name="Normal 31 2 3 2 2 2 4 3" xfId="10832"/>
    <cellStyle name="Normal 31 2 3 2 2 2 5" xfId="3265"/>
    <cellStyle name="Normal 31 2 3 2 2 2 5 2" xfId="7122"/>
    <cellStyle name="Normal 31 2 3 2 2 2 5 3" xfId="12038"/>
    <cellStyle name="Normal 31 2 3 2 2 2 6" xfId="4674"/>
    <cellStyle name="Normal 31 2 3 2 2 2 6 2" xfId="9590"/>
    <cellStyle name="Normal 31 2 3 2 2 2 7" xfId="8347"/>
    <cellStyle name="Normal 31 2 3 2 2 3" xfId="676"/>
    <cellStyle name="Normal 31 2 3 2 2 3 2" xfId="1026"/>
    <cellStyle name="Normal 31 2 3 2 2 3 2 2" xfId="1640"/>
    <cellStyle name="Normal 31 2 3 2 2 3 2 2 2" xfId="2866"/>
    <cellStyle name="Normal 31 2 3 2 2 3 2 2 2 2" xfId="6726"/>
    <cellStyle name="Normal 31 2 3 2 2 3 2 2 2 3" xfId="11678"/>
    <cellStyle name="Normal 31 2 3 2 2 3 2 2 3" xfId="4094"/>
    <cellStyle name="Normal 31 2 3 2 2 3 2 2 3 2" xfId="7950"/>
    <cellStyle name="Normal 31 2 3 2 2 3 2 2 3 3" xfId="10436"/>
    <cellStyle name="Normal 31 2 3 2 2 3 2 2 4" xfId="5502"/>
    <cellStyle name="Normal 31 2 3 2 2 3 2 2 5" xfId="9194"/>
    <cellStyle name="Normal 31 2 3 2 2 3 2 3" xfId="2254"/>
    <cellStyle name="Normal 31 2 3 2 2 3 2 3 2" xfId="6114"/>
    <cellStyle name="Normal 31 2 3 2 2 3 2 3 3" xfId="11030"/>
    <cellStyle name="Normal 31 2 3 2 2 3 2 4" xfId="3482"/>
    <cellStyle name="Normal 31 2 3 2 2 3 2 4 2" xfId="7338"/>
    <cellStyle name="Normal 31 2 3 2 2 3 2 4 3" xfId="9788"/>
    <cellStyle name="Normal 31 2 3 2 2 3 2 5" xfId="4890"/>
    <cellStyle name="Normal 31 2 3 2 2 3 2 6" xfId="8545"/>
    <cellStyle name="Normal 31 2 3 2 2 3 3" xfId="1334"/>
    <cellStyle name="Normal 31 2 3 2 2 3 3 2" xfId="2560"/>
    <cellStyle name="Normal 31 2 3 2 2 3 3 2 2" xfId="6420"/>
    <cellStyle name="Normal 31 2 3 2 2 3 3 2 3" xfId="11372"/>
    <cellStyle name="Normal 31 2 3 2 2 3 3 3" xfId="3788"/>
    <cellStyle name="Normal 31 2 3 2 2 3 3 3 2" xfId="7644"/>
    <cellStyle name="Normal 31 2 3 2 2 3 3 3 3" xfId="10130"/>
    <cellStyle name="Normal 31 2 3 2 2 3 3 4" xfId="5196"/>
    <cellStyle name="Normal 31 2 3 2 2 3 3 5" xfId="8888"/>
    <cellStyle name="Normal 31 2 3 2 2 3 4" xfId="1948"/>
    <cellStyle name="Normal 31 2 3 2 2 3 4 2" xfId="5808"/>
    <cellStyle name="Normal 31 2 3 2 2 3 4 3" xfId="10742"/>
    <cellStyle name="Normal 31 2 3 2 2 3 5" xfId="3175"/>
    <cellStyle name="Normal 31 2 3 2 2 3 5 2" xfId="7032"/>
    <cellStyle name="Normal 31 2 3 2 2 3 5 3" xfId="11948"/>
    <cellStyle name="Normal 31 2 3 2 2 3 6" xfId="4584"/>
    <cellStyle name="Normal 31 2 3 2 2 3 6 2" xfId="9500"/>
    <cellStyle name="Normal 31 2 3 2 2 3 7" xfId="8257"/>
    <cellStyle name="Normal 31 2 3 2 2 4" xfId="935"/>
    <cellStyle name="Normal 31 2 3 2 2 4 2" xfId="1550"/>
    <cellStyle name="Normal 31 2 3 2 2 4 2 2" xfId="2776"/>
    <cellStyle name="Normal 31 2 3 2 2 4 2 2 2" xfId="6636"/>
    <cellStyle name="Normal 31 2 3 2 2 4 2 2 3" xfId="11588"/>
    <cellStyle name="Normal 31 2 3 2 2 4 2 3" xfId="4004"/>
    <cellStyle name="Normal 31 2 3 2 2 4 2 3 2" xfId="7860"/>
    <cellStyle name="Normal 31 2 3 2 2 4 2 3 3" xfId="10346"/>
    <cellStyle name="Normal 31 2 3 2 2 4 2 4" xfId="5412"/>
    <cellStyle name="Normal 31 2 3 2 2 4 2 5" xfId="9104"/>
    <cellStyle name="Normal 31 2 3 2 2 4 3" xfId="2164"/>
    <cellStyle name="Normal 31 2 3 2 2 4 3 2" xfId="6024"/>
    <cellStyle name="Normal 31 2 3 2 2 4 3 3" xfId="10940"/>
    <cellStyle name="Normal 31 2 3 2 2 4 4" xfId="3392"/>
    <cellStyle name="Normal 31 2 3 2 2 4 4 2" xfId="7248"/>
    <cellStyle name="Normal 31 2 3 2 2 4 4 3" xfId="9698"/>
    <cellStyle name="Normal 31 2 3 2 2 4 5" xfId="4800"/>
    <cellStyle name="Normal 31 2 3 2 2 4 6" xfId="8455"/>
    <cellStyle name="Normal 31 2 3 2 2 5" xfId="1244"/>
    <cellStyle name="Normal 31 2 3 2 2 5 2" xfId="2470"/>
    <cellStyle name="Normal 31 2 3 2 2 5 2 2" xfId="6330"/>
    <cellStyle name="Normal 31 2 3 2 2 5 2 3" xfId="11282"/>
    <cellStyle name="Normal 31 2 3 2 2 5 3" xfId="3698"/>
    <cellStyle name="Normal 31 2 3 2 2 5 3 2" xfId="7554"/>
    <cellStyle name="Normal 31 2 3 2 2 5 3 3" xfId="10040"/>
    <cellStyle name="Normal 31 2 3 2 2 5 4" xfId="5106"/>
    <cellStyle name="Normal 31 2 3 2 2 5 5" xfId="8798"/>
    <cellStyle name="Normal 31 2 3 2 2 6" xfId="1858"/>
    <cellStyle name="Normal 31 2 3 2 2 6 2" xfId="5718"/>
    <cellStyle name="Normal 31 2 3 2 2 6 3" xfId="10652"/>
    <cellStyle name="Normal 31 2 3 2 2 7" xfId="3085"/>
    <cellStyle name="Normal 31 2 3 2 2 7 2" xfId="6942"/>
    <cellStyle name="Normal 31 2 3 2 2 7 3" xfId="11858"/>
    <cellStyle name="Normal 31 2 3 2 2 8" xfId="4494"/>
    <cellStyle name="Normal 31 2 3 2 2 8 2" xfId="9410"/>
    <cellStyle name="Normal 31 2 3 2 2 9" xfId="8167"/>
    <cellStyle name="Normal 31 2 3 2 3" xfId="730"/>
    <cellStyle name="Normal 31 2 3 2 3 2" xfId="1080"/>
    <cellStyle name="Normal 31 2 3 2 3 2 2" xfId="1694"/>
    <cellStyle name="Normal 31 2 3 2 3 2 2 2" xfId="2920"/>
    <cellStyle name="Normal 31 2 3 2 3 2 2 2 2" xfId="6780"/>
    <cellStyle name="Normal 31 2 3 2 3 2 2 2 3" xfId="11732"/>
    <cellStyle name="Normal 31 2 3 2 3 2 2 3" xfId="4148"/>
    <cellStyle name="Normal 31 2 3 2 3 2 2 3 2" xfId="8004"/>
    <cellStyle name="Normal 31 2 3 2 3 2 2 3 3" xfId="10490"/>
    <cellStyle name="Normal 31 2 3 2 3 2 2 4" xfId="5556"/>
    <cellStyle name="Normal 31 2 3 2 3 2 2 5" xfId="9248"/>
    <cellStyle name="Normal 31 2 3 2 3 2 3" xfId="2308"/>
    <cellStyle name="Normal 31 2 3 2 3 2 3 2" xfId="6168"/>
    <cellStyle name="Normal 31 2 3 2 3 2 3 3" xfId="11084"/>
    <cellStyle name="Normal 31 2 3 2 3 2 4" xfId="3536"/>
    <cellStyle name="Normal 31 2 3 2 3 2 4 2" xfId="7392"/>
    <cellStyle name="Normal 31 2 3 2 3 2 4 3" xfId="9842"/>
    <cellStyle name="Normal 31 2 3 2 3 2 5" xfId="4944"/>
    <cellStyle name="Normal 31 2 3 2 3 2 6" xfId="8599"/>
    <cellStyle name="Normal 31 2 3 2 3 3" xfId="1388"/>
    <cellStyle name="Normal 31 2 3 2 3 3 2" xfId="2614"/>
    <cellStyle name="Normal 31 2 3 2 3 3 2 2" xfId="6474"/>
    <cellStyle name="Normal 31 2 3 2 3 3 2 3" xfId="11426"/>
    <cellStyle name="Normal 31 2 3 2 3 3 3" xfId="3842"/>
    <cellStyle name="Normal 31 2 3 2 3 3 3 2" xfId="7698"/>
    <cellStyle name="Normal 31 2 3 2 3 3 3 3" xfId="10184"/>
    <cellStyle name="Normal 31 2 3 2 3 3 4" xfId="5250"/>
    <cellStyle name="Normal 31 2 3 2 3 3 5" xfId="8942"/>
    <cellStyle name="Normal 31 2 3 2 3 4" xfId="2002"/>
    <cellStyle name="Normal 31 2 3 2 3 4 2" xfId="5862"/>
    <cellStyle name="Normal 31 2 3 2 3 4 3" xfId="10796"/>
    <cellStyle name="Normal 31 2 3 2 3 5" xfId="3229"/>
    <cellStyle name="Normal 31 2 3 2 3 5 2" xfId="7086"/>
    <cellStyle name="Normal 31 2 3 2 3 5 3" xfId="12002"/>
    <cellStyle name="Normal 31 2 3 2 3 6" xfId="4638"/>
    <cellStyle name="Normal 31 2 3 2 3 6 2" xfId="9554"/>
    <cellStyle name="Normal 31 2 3 2 3 7" xfId="8311"/>
    <cellStyle name="Normal 31 2 3 2 4" xfId="640"/>
    <cellStyle name="Normal 31 2 3 2 4 2" xfId="990"/>
    <cellStyle name="Normal 31 2 3 2 4 2 2" xfId="1604"/>
    <cellStyle name="Normal 31 2 3 2 4 2 2 2" xfId="2830"/>
    <cellStyle name="Normal 31 2 3 2 4 2 2 2 2" xfId="6690"/>
    <cellStyle name="Normal 31 2 3 2 4 2 2 2 3" xfId="11642"/>
    <cellStyle name="Normal 31 2 3 2 4 2 2 3" xfId="4058"/>
    <cellStyle name="Normal 31 2 3 2 4 2 2 3 2" xfId="7914"/>
    <cellStyle name="Normal 31 2 3 2 4 2 2 3 3" xfId="10400"/>
    <cellStyle name="Normal 31 2 3 2 4 2 2 4" xfId="5466"/>
    <cellStyle name="Normal 31 2 3 2 4 2 2 5" xfId="9158"/>
    <cellStyle name="Normal 31 2 3 2 4 2 3" xfId="2218"/>
    <cellStyle name="Normal 31 2 3 2 4 2 3 2" xfId="6078"/>
    <cellStyle name="Normal 31 2 3 2 4 2 3 3" xfId="10994"/>
    <cellStyle name="Normal 31 2 3 2 4 2 4" xfId="3446"/>
    <cellStyle name="Normal 31 2 3 2 4 2 4 2" xfId="7302"/>
    <cellStyle name="Normal 31 2 3 2 4 2 4 3" xfId="9752"/>
    <cellStyle name="Normal 31 2 3 2 4 2 5" xfId="4854"/>
    <cellStyle name="Normal 31 2 3 2 4 2 6" xfId="8509"/>
    <cellStyle name="Normal 31 2 3 2 4 3" xfId="1298"/>
    <cellStyle name="Normal 31 2 3 2 4 3 2" xfId="2524"/>
    <cellStyle name="Normal 31 2 3 2 4 3 2 2" xfId="6384"/>
    <cellStyle name="Normal 31 2 3 2 4 3 2 3" xfId="11336"/>
    <cellStyle name="Normal 31 2 3 2 4 3 3" xfId="3752"/>
    <cellStyle name="Normal 31 2 3 2 4 3 3 2" xfId="7608"/>
    <cellStyle name="Normal 31 2 3 2 4 3 3 3" xfId="10094"/>
    <cellStyle name="Normal 31 2 3 2 4 3 4" xfId="5160"/>
    <cellStyle name="Normal 31 2 3 2 4 3 5" xfId="8852"/>
    <cellStyle name="Normal 31 2 3 2 4 4" xfId="1912"/>
    <cellStyle name="Normal 31 2 3 2 4 4 2" xfId="5772"/>
    <cellStyle name="Normal 31 2 3 2 4 4 3" xfId="10706"/>
    <cellStyle name="Normal 31 2 3 2 4 5" xfId="3139"/>
    <cellStyle name="Normal 31 2 3 2 4 5 2" xfId="6996"/>
    <cellStyle name="Normal 31 2 3 2 4 5 3" xfId="11912"/>
    <cellStyle name="Normal 31 2 3 2 4 6" xfId="4548"/>
    <cellStyle name="Normal 31 2 3 2 4 6 2" xfId="9464"/>
    <cellStyle name="Normal 31 2 3 2 4 7" xfId="8221"/>
    <cellStyle name="Normal 31 2 3 2 5" xfId="546"/>
    <cellStyle name="Normal 31 2 3 2 5 2" xfId="896"/>
    <cellStyle name="Normal 31 2 3 2 5 2 2" xfId="1514"/>
    <cellStyle name="Normal 31 2 3 2 5 2 2 2" xfId="2740"/>
    <cellStyle name="Normal 31 2 3 2 5 2 2 2 2" xfId="6600"/>
    <cellStyle name="Normal 31 2 3 2 5 2 2 2 3" xfId="11552"/>
    <cellStyle name="Normal 31 2 3 2 5 2 2 3" xfId="3968"/>
    <cellStyle name="Normal 31 2 3 2 5 2 2 3 2" xfId="7824"/>
    <cellStyle name="Normal 31 2 3 2 5 2 2 3 3" xfId="10310"/>
    <cellStyle name="Normal 31 2 3 2 5 2 2 4" xfId="5376"/>
    <cellStyle name="Normal 31 2 3 2 5 2 2 5" xfId="9068"/>
    <cellStyle name="Normal 31 2 3 2 5 2 3" xfId="2128"/>
    <cellStyle name="Normal 31 2 3 2 5 2 3 2" xfId="5988"/>
    <cellStyle name="Normal 31 2 3 2 5 2 3 3" xfId="11156"/>
    <cellStyle name="Normal 31 2 3 2 5 2 4" xfId="3356"/>
    <cellStyle name="Normal 31 2 3 2 5 2 4 2" xfId="7212"/>
    <cellStyle name="Normal 31 2 3 2 5 2 4 3" xfId="9914"/>
    <cellStyle name="Normal 31 2 3 2 5 2 5" xfId="4764"/>
    <cellStyle name="Normal 31 2 3 2 5 2 6" xfId="8672"/>
    <cellStyle name="Normal 31 2 3 2 5 3" xfId="1208"/>
    <cellStyle name="Normal 31 2 3 2 5 3 2" xfId="2434"/>
    <cellStyle name="Normal 31 2 3 2 5 3 2 2" xfId="6294"/>
    <cellStyle name="Normal 31 2 3 2 5 3 2 3" xfId="11246"/>
    <cellStyle name="Normal 31 2 3 2 5 3 3" xfId="3662"/>
    <cellStyle name="Normal 31 2 3 2 5 3 3 2" xfId="7518"/>
    <cellStyle name="Normal 31 2 3 2 5 3 3 3" xfId="10004"/>
    <cellStyle name="Normal 31 2 3 2 5 3 4" xfId="5070"/>
    <cellStyle name="Normal 31 2 3 2 5 3 5" xfId="8762"/>
    <cellStyle name="Normal 31 2 3 2 5 4" xfId="1822"/>
    <cellStyle name="Normal 31 2 3 2 5 4 2" xfId="5682"/>
    <cellStyle name="Normal 31 2 3 2 5 4 2 2" xfId="11138"/>
    <cellStyle name="Normal 31 2 3 2 5 4 3" xfId="9896"/>
    <cellStyle name="Normal 31 2 3 2 5 4 4" xfId="8653"/>
    <cellStyle name="Normal 31 2 3 2 5 5" xfId="3049"/>
    <cellStyle name="Normal 31 2 3 2 5 5 2" xfId="6906"/>
    <cellStyle name="Normal 31 2 3 2 5 5 3" xfId="10616"/>
    <cellStyle name="Normal 31 2 3 2 5 6" xfId="4458"/>
    <cellStyle name="Normal 31 2 3 2 5 6 2" xfId="9374"/>
    <cellStyle name="Normal 31 2 3 2 5 7" xfId="8131"/>
    <cellStyle name="Normal 31 2 3 2 6" xfId="822"/>
    <cellStyle name="Normal 31 2 3 2 6 2" xfId="1460"/>
    <cellStyle name="Normal 31 2 3 2 6 2 2" xfId="2686"/>
    <cellStyle name="Normal 31 2 3 2 6 2 2 2" xfId="6546"/>
    <cellStyle name="Normal 31 2 3 2 6 2 2 3" xfId="11498"/>
    <cellStyle name="Normal 31 2 3 2 6 2 3" xfId="3914"/>
    <cellStyle name="Normal 31 2 3 2 6 2 3 2" xfId="7770"/>
    <cellStyle name="Normal 31 2 3 2 6 2 3 3" xfId="10256"/>
    <cellStyle name="Normal 31 2 3 2 6 2 4" xfId="5322"/>
    <cellStyle name="Normal 31 2 3 2 6 2 5" xfId="9014"/>
    <cellStyle name="Normal 31 2 3 2 6 3" xfId="2074"/>
    <cellStyle name="Normal 31 2 3 2 6 3 2" xfId="5934"/>
    <cellStyle name="Normal 31 2 3 2 6 3 3" xfId="10904"/>
    <cellStyle name="Normal 31 2 3 2 6 4" xfId="3302"/>
    <cellStyle name="Normal 31 2 3 2 6 4 2" xfId="7158"/>
    <cellStyle name="Normal 31 2 3 2 6 4 3" xfId="9662"/>
    <cellStyle name="Normal 31 2 3 2 6 5" xfId="4710"/>
    <cellStyle name="Normal 31 2 3 2 6 6" xfId="8419"/>
    <cellStyle name="Normal 31 2 3 2 7" xfId="1154"/>
    <cellStyle name="Normal 31 2 3 2 7 2" xfId="2380"/>
    <cellStyle name="Normal 31 2 3 2 7 2 2" xfId="6240"/>
    <cellStyle name="Normal 31 2 3 2 7 2 3" xfId="11192"/>
    <cellStyle name="Normal 31 2 3 2 7 3" xfId="3608"/>
    <cellStyle name="Normal 31 2 3 2 7 3 2" xfId="7464"/>
    <cellStyle name="Normal 31 2 3 2 7 3 3" xfId="9950"/>
    <cellStyle name="Normal 31 2 3 2 7 4" xfId="5016"/>
    <cellStyle name="Normal 31 2 3 2 7 5" xfId="8708"/>
    <cellStyle name="Normal 31 2 3 2 8" xfId="1768"/>
    <cellStyle name="Normal 31 2 3 2 8 2" xfId="5628"/>
    <cellStyle name="Normal 31 2 3 2 8 3" xfId="10562"/>
    <cellStyle name="Normal 31 2 3 2 9" xfId="2995"/>
    <cellStyle name="Normal 31 2 3 2 9 2" xfId="6852"/>
    <cellStyle name="Normal 31 2 3 2 9 3" xfId="11822"/>
    <cellStyle name="Normal 31 2 3 3" xfId="567"/>
    <cellStyle name="Normal 31 2 3 3 2" xfId="748"/>
    <cellStyle name="Normal 31 2 3 3 2 2" xfId="1098"/>
    <cellStyle name="Normal 31 2 3 3 2 2 2" xfId="1712"/>
    <cellStyle name="Normal 31 2 3 3 2 2 2 2" xfId="2938"/>
    <cellStyle name="Normal 31 2 3 3 2 2 2 2 2" xfId="6798"/>
    <cellStyle name="Normal 31 2 3 3 2 2 2 2 3" xfId="11750"/>
    <cellStyle name="Normal 31 2 3 3 2 2 2 3" xfId="4166"/>
    <cellStyle name="Normal 31 2 3 3 2 2 2 3 2" xfId="8022"/>
    <cellStyle name="Normal 31 2 3 3 2 2 2 3 3" xfId="10508"/>
    <cellStyle name="Normal 31 2 3 3 2 2 2 4" xfId="5574"/>
    <cellStyle name="Normal 31 2 3 3 2 2 2 5" xfId="9266"/>
    <cellStyle name="Normal 31 2 3 3 2 2 3" xfId="2326"/>
    <cellStyle name="Normal 31 2 3 3 2 2 3 2" xfId="6186"/>
    <cellStyle name="Normal 31 2 3 3 2 2 3 3" xfId="11102"/>
    <cellStyle name="Normal 31 2 3 3 2 2 4" xfId="3554"/>
    <cellStyle name="Normal 31 2 3 3 2 2 4 2" xfId="7410"/>
    <cellStyle name="Normal 31 2 3 3 2 2 4 3" xfId="9860"/>
    <cellStyle name="Normal 31 2 3 3 2 2 5" xfId="4962"/>
    <cellStyle name="Normal 31 2 3 3 2 2 6" xfId="8617"/>
    <cellStyle name="Normal 31 2 3 3 2 3" xfId="1406"/>
    <cellStyle name="Normal 31 2 3 3 2 3 2" xfId="2632"/>
    <cellStyle name="Normal 31 2 3 3 2 3 2 2" xfId="6492"/>
    <cellStyle name="Normal 31 2 3 3 2 3 2 3" xfId="11444"/>
    <cellStyle name="Normal 31 2 3 3 2 3 3" xfId="3860"/>
    <cellStyle name="Normal 31 2 3 3 2 3 3 2" xfId="7716"/>
    <cellStyle name="Normal 31 2 3 3 2 3 3 3" xfId="10202"/>
    <cellStyle name="Normal 31 2 3 3 2 3 4" xfId="5268"/>
    <cellStyle name="Normal 31 2 3 3 2 3 5" xfId="8960"/>
    <cellStyle name="Normal 31 2 3 3 2 4" xfId="2020"/>
    <cellStyle name="Normal 31 2 3 3 2 4 2" xfId="5880"/>
    <cellStyle name="Normal 31 2 3 3 2 4 3" xfId="10814"/>
    <cellStyle name="Normal 31 2 3 3 2 5" xfId="3247"/>
    <cellStyle name="Normal 31 2 3 3 2 5 2" xfId="7104"/>
    <cellStyle name="Normal 31 2 3 3 2 5 3" xfId="12020"/>
    <cellStyle name="Normal 31 2 3 3 2 6" xfId="4656"/>
    <cellStyle name="Normal 31 2 3 3 2 6 2" xfId="9572"/>
    <cellStyle name="Normal 31 2 3 3 2 7" xfId="8329"/>
    <cellStyle name="Normal 31 2 3 3 3" xfId="658"/>
    <cellStyle name="Normal 31 2 3 3 3 2" xfId="1008"/>
    <cellStyle name="Normal 31 2 3 3 3 2 2" xfId="1622"/>
    <cellStyle name="Normal 31 2 3 3 3 2 2 2" xfId="2848"/>
    <cellStyle name="Normal 31 2 3 3 3 2 2 2 2" xfId="6708"/>
    <cellStyle name="Normal 31 2 3 3 3 2 2 2 3" xfId="11660"/>
    <cellStyle name="Normal 31 2 3 3 3 2 2 3" xfId="4076"/>
    <cellStyle name="Normal 31 2 3 3 3 2 2 3 2" xfId="7932"/>
    <cellStyle name="Normal 31 2 3 3 3 2 2 3 3" xfId="10418"/>
    <cellStyle name="Normal 31 2 3 3 3 2 2 4" xfId="5484"/>
    <cellStyle name="Normal 31 2 3 3 3 2 2 5" xfId="9176"/>
    <cellStyle name="Normal 31 2 3 3 3 2 3" xfId="2236"/>
    <cellStyle name="Normal 31 2 3 3 3 2 3 2" xfId="6096"/>
    <cellStyle name="Normal 31 2 3 3 3 2 3 3" xfId="11012"/>
    <cellStyle name="Normal 31 2 3 3 3 2 4" xfId="3464"/>
    <cellStyle name="Normal 31 2 3 3 3 2 4 2" xfId="7320"/>
    <cellStyle name="Normal 31 2 3 3 3 2 4 3" xfId="9770"/>
    <cellStyle name="Normal 31 2 3 3 3 2 5" xfId="4872"/>
    <cellStyle name="Normal 31 2 3 3 3 2 6" xfId="8527"/>
    <cellStyle name="Normal 31 2 3 3 3 3" xfId="1316"/>
    <cellStyle name="Normal 31 2 3 3 3 3 2" xfId="2542"/>
    <cellStyle name="Normal 31 2 3 3 3 3 2 2" xfId="6402"/>
    <cellStyle name="Normal 31 2 3 3 3 3 2 3" xfId="11354"/>
    <cellStyle name="Normal 31 2 3 3 3 3 3" xfId="3770"/>
    <cellStyle name="Normal 31 2 3 3 3 3 3 2" xfId="7626"/>
    <cellStyle name="Normal 31 2 3 3 3 3 3 3" xfId="10112"/>
    <cellStyle name="Normal 31 2 3 3 3 3 4" xfId="5178"/>
    <cellStyle name="Normal 31 2 3 3 3 3 5" xfId="8870"/>
    <cellStyle name="Normal 31 2 3 3 3 4" xfId="1930"/>
    <cellStyle name="Normal 31 2 3 3 3 4 2" xfId="5790"/>
    <cellStyle name="Normal 31 2 3 3 3 4 3" xfId="10724"/>
    <cellStyle name="Normal 31 2 3 3 3 5" xfId="3157"/>
    <cellStyle name="Normal 31 2 3 3 3 5 2" xfId="7014"/>
    <cellStyle name="Normal 31 2 3 3 3 5 3" xfId="11930"/>
    <cellStyle name="Normal 31 2 3 3 3 6" xfId="4566"/>
    <cellStyle name="Normal 31 2 3 3 3 6 2" xfId="9482"/>
    <cellStyle name="Normal 31 2 3 3 3 7" xfId="8239"/>
    <cellStyle name="Normal 31 2 3 3 4" xfId="917"/>
    <cellStyle name="Normal 31 2 3 3 4 2" xfId="1532"/>
    <cellStyle name="Normal 31 2 3 3 4 2 2" xfId="2758"/>
    <cellStyle name="Normal 31 2 3 3 4 2 2 2" xfId="6618"/>
    <cellStyle name="Normal 31 2 3 3 4 2 2 3" xfId="11570"/>
    <cellStyle name="Normal 31 2 3 3 4 2 3" xfId="3986"/>
    <cellStyle name="Normal 31 2 3 3 4 2 3 2" xfId="7842"/>
    <cellStyle name="Normal 31 2 3 3 4 2 3 3" xfId="10328"/>
    <cellStyle name="Normal 31 2 3 3 4 2 4" xfId="5394"/>
    <cellStyle name="Normal 31 2 3 3 4 2 5" xfId="9086"/>
    <cellStyle name="Normal 31 2 3 3 4 3" xfId="2146"/>
    <cellStyle name="Normal 31 2 3 3 4 3 2" xfId="6006"/>
    <cellStyle name="Normal 31 2 3 3 4 3 3" xfId="10922"/>
    <cellStyle name="Normal 31 2 3 3 4 4" xfId="3374"/>
    <cellStyle name="Normal 31 2 3 3 4 4 2" xfId="7230"/>
    <cellStyle name="Normal 31 2 3 3 4 4 3" xfId="9680"/>
    <cellStyle name="Normal 31 2 3 3 4 5" xfId="4782"/>
    <cellStyle name="Normal 31 2 3 3 4 6" xfId="8437"/>
    <cellStyle name="Normal 31 2 3 3 5" xfId="1226"/>
    <cellStyle name="Normal 31 2 3 3 5 2" xfId="2452"/>
    <cellStyle name="Normal 31 2 3 3 5 2 2" xfId="6312"/>
    <cellStyle name="Normal 31 2 3 3 5 2 3" xfId="11264"/>
    <cellStyle name="Normal 31 2 3 3 5 3" xfId="3680"/>
    <cellStyle name="Normal 31 2 3 3 5 3 2" xfId="7536"/>
    <cellStyle name="Normal 31 2 3 3 5 3 3" xfId="10022"/>
    <cellStyle name="Normal 31 2 3 3 5 4" xfId="5088"/>
    <cellStyle name="Normal 31 2 3 3 5 5" xfId="8780"/>
    <cellStyle name="Normal 31 2 3 3 6" xfId="1840"/>
    <cellStyle name="Normal 31 2 3 3 6 2" xfId="5700"/>
    <cellStyle name="Normal 31 2 3 3 6 3" xfId="10634"/>
    <cellStyle name="Normal 31 2 3 3 7" xfId="3067"/>
    <cellStyle name="Normal 31 2 3 3 7 2" xfId="6924"/>
    <cellStyle name="Normal 31 2 3 3 7 3" xfId="11840"/>
    <cellStyle name="Normal 31 2 3 3 8" xfId="4476"/>
    <cellStyle name="Normal 31 2 3 3 8 2" xfId="9392"/>
    <cellStyle name="Normal 31 2 3 3 9" xfId="8149"/>
    <cellStyle name="Normal 31 2 3 4" xfId="510"/>
    <cellStyle name="Normal 31 2 3 4 2" xfId="712"/>
    <cellStyle name="Normal 31 2 3 4 2 2" xfId="1062"/>
    <cellStyle name="Normal 31 2 3 4 2 2 2" xfId="1676"/>
    <cellStyle name="Normal 31 2 3 4 2 2 2 2" xfId="2902"/>
    <cellStyle name="Normal 31 2 3 4 2 2 2 2 2" xfId="6762"/>
    <cellStyle name="Normal 31 2 3 4 2 2 2 2 3" xfId="11714"/>
    <cellStyle name="Normal 31 2 3 4 2 2 2 3" xfId="4130"/>
    <cellStyle name="Normal 31 2 3 4 2 2 2 3 2" xfId="7986"/>
    <cellStyle name="Normal 31 2 3 4 2 2 2 3 3" xfId="10472"/>
    <cellStyle name="Normal 31 2 3 4 2 2 2 4" xfId="5538"/>
    <cellStyle name="Normal 31 2 3 4 2 2 2 5" xfId="9230"/>
    <cellStyle name="Normal 31 2 3 4 2 2 3" xfId="2290"/>
    <cellStyle name="Normal 31 2 3 4 2 2 3 2" xfId="6150"/>
    <cellStyle name="Normal 31 2 3 4 2 2 3 3" xfId="11066"/>
    <cellStyle name="Normal 31 2 3 4 2 2 4" xfId="3518"/>
    <cellStyle name="Normal 31 2 3 4 2 2 4 2" xfId="7374"/>
    <cellStyle name="Normal 31 2 3 4 2 2 4 3" xfId="9824"/>
    <cellStyle name="Normal 31 2 3 4 2 2 5" xfId="4926"/>
    <cellStyle name="Normal 31 2 3 4 2 2 6" xfId="8581"/>
    <cellStyle name="Normal 31 2 3 4 2 3" xfId="1370"/>
    <cellStyle name="Normal 31 2 3 4 2 3 2" xfId="2596"/>
    <cellStyle name="Normal 31 2 3 4 2 3 2 2" xfId="6456"/>
    <cellStyle name="Normal 31 2 3 4 2 3 2 3" xfId="11408"/>
    <cellStyle name="Normal 31 2 3 4 2 3 3" xfId="3824"/>
    <cellStyle name="Normal 31 2 3 4 2 3 3 2" xfId="7680"/>
    <cellStyle name="Normal 31 2 3 4 2 3 3 3" xfId="10166"/>
    <cellStyle name="Normal 31 2 3 4 2 3 4" xfId="5232"/>
    <cellStyle name="Normal 31 2 3 4 2 3 5" xfId="8924"/>
    <cellStyle name="Normal 31 2 3 4 2 4" xfId="1984"/>
    <cellStyle name="Normal 31 2 3 4 2 4 2" xfId="5844"/>
    <cellStyle name="Normal 31 2 3 4 2 4 3" xfId="10778"/>
    <cellStyle name="Normal 31 2 3 4 2 5" xfId="3211"/>
    <cellStyle name="Normal 31 2 3 4 2 5 2" xfId="7068"/>
    <cellStyle name="Normal 31 2 3 4 2 5 3" xfId="11984"/>
    <cellStyle name="Normal 31 2 3 4 2 6" xfId="4620"/>
    <cellStyle name="Normal 31 2 3 4 2 6 2" xfId="9536"/>
    <cellStyle name="Normal 31 2 3 4 2 7" xfId="8293"/>
    <cellStyle name="Normal 31 2 3 4 3" xfId="622"/>
    <cellStyle name="Normal 31 2 3 4 3 2" xfId="972"/>
    <cellStyle name="Normal 31 2 3 4 3 2 2" xfId="1586"/>
    <cellStyle name="Normal 31 2 3 4 3 2 2 2" xfId="2812"/>
    <cellStyle name="Normal 31 2 3 4 3 2 2 2 2" xfId="6672"/>
    <cellStyle name="Normal 31 2 3 4 3 2 2 2 3" xfId="11624"/>
    <cellStyle name="Normal 31 2 3 4 3 2 2 3" xfId="4040"/>
    <cellStyle name="Normal 31 2 3 4 3 2 2 3 2" xfId="7896"/>
    <cellStyle name="Normal 31 2 3 4 3 2 2 3 3" xfId="10382"/>
    <cellStyle name="Normal 31 2 3 4 3 2 2 4" xfId="5448"/>
    <cellStyle name="Normal 31 2 3 4 3 2 2 5" xfId="9140"/>
    <cellStyle name="Normal 31 2 3 4 3 2 3" xfId="2200"/>
    <cellStyle name="Normal 31 2 3 4 3 2 3 2" xfId="6060"/>
    <cellStyle name="Normal 31 2 3 4 3 2 3 3" xfId="10976"/>
    <cellStyle name="Normal 31 2 3 4 3 2 4" xfId="3428"/>
    <cellStyle name="Normal 31 2 3 4 3 2 4 2" xfId="7284"/>
    <cellStyle name="Normal 31 2 3 4 3 2 4 3" xfId="9734"/>
    <cellStyle name="Normal 31 2 3 4 3 2 5" xfId="4836"/>
    <cellStyle name="Normal 31 2 3 4 3 2 6" xfId="8491"/>
    <cellStyle name="Normal 31 2 3 4 3 3" xfId="1280"/>
    <cellStyle name="Normal 31 2 3 4 3 3 2" xfId="2506"/>
    <cellStyle name="Normal 31 2 3 4 3 3 2 2" xfId="6366"/>
    <cellStyle name="Normal 31 2 3 4 3 3 2 3" xfId="11318"/>
    <cellStyle name="Normal 31 2 3 4 3 3 3" xfId="3734"/>
    <cellStyle name="Normal 31 2 3 4 3 3 3 2" xfId="7590"/>
    <cellStyle name="Normal 31 2 3 4 3 3 3 3" xfId="10076"/>
    <cellStyle name="Normal 31 2 3 4 3 3 4" xfId="5142"/>
    <cellStyle name="Normal 31 2 3 4 3 3 5" xfId="8834"/>
    <cellStyle name="Normal 31 2 3 4 3 4" xfId="1894"/>
    <cellStyle name="Normal 31 2 3 4 3 4 2" xfId="5754"/>
    <cellStyle name="Normal 31 2 3 4 3 4 3" xfId="10688"/>
    <cellStyle name="Normal 31 2 3 4 3 5" xfId="3121"/>
    <cellStyle name="Normal 31 2 3 4 3 5 2" xfId="6978"/>
    <cellStyle name="Normal 31 2 3 4 3 5 3" xfId="11894"/>
    <cellStyle name="Normal 31 2 3 4 3 6" xfId="4530"/>
    <cellStyle name="Normal 31 2 3 4 3 6 2" xfId="9446"/>
    <cellStyle name="Normal 31 2 3 4 3 7" xfId="8203"/>
    <cellStyle name="Normal 31 2 3 4 4" xfId="860"/>
    <cellStyle name="Normal 31 2 3 4 4 2" xfId="1496"/>
    <cellStyle name="Normal 31 2 3 4 4 2 2" xfId="2722"/>
    <cellStyle name="Normal 31 2 3 4 4 2 2 2" xfId="6582"/>
    <cellStyle name="Normal 31 2 3 4 4 2 2 3" xfId="11534"/>
    <cellStyle name="Normal 31 2 3 4 4 2 3" xfId="3950"/>
    <cellStyle name="Normal 31 2 3 4 4 2 3 2" xfId="7806"/>
    <cellStyle name="Normal 31 2 3 4 4 2 3 3" xfId="10292"/>
    <cellStyle name="Normal 31 2 3 4 4 2 4" xfId="5358"/>
    <cellStyle name="Normal 31 2 3 4 4 2 5" xfId="9050"/>
    <cellStyle name="Normal 31 2 3 4 4 3" xfId="2110"/>
    <cellStyle name="Normal 31 2 3 4 4 3 2" xfId="5970"/>
    <cellStyle name="Normal 31 2 3 4 4 3 3" xfId="10886"/>
    <cellStyle name="Normal 31 2 3 4 4 4" xfId="3338"/>
    <cellStyle name="Normal 31 2 3 4 4 4 2" xfId="7194"/>
    <cellStyle name="Normal 31 2 3 4 4 4 3" xfId="9644"/>
    <cellStyle name="Normal 31 2 3 4 4 5" xfId="4746"/>
    <cellStyle name="Normal 31 2 3 4 4 6" xfId="8401"/>
    <cellStyle name="Normal 31 2 3 4 5" xfId="1190"/>
    <cellStyle name="Normal 31 2 3 4 5 2" xfId="2416"/>
    <cellStyle name="Normal 31 2 3 4 5 2 2" xfId="6276"/>
    <cellStyle name="Normal 31 2 3 4 5 2 3" xfId="11228"/>
    <cellStyle name="Normal 31 2 3 4 5 3" xfId="3644"/>
    <cellStyle name="Normal 31 2 3 4 5 3 2" xfId="7500"/>
    <cellStyle name="Normal 31 2 3 4 5 3 3" xfId="9986"/>
    <cellStyle name="Normal 31 2 3 4 5 4" xfId="5052"/>
    <cellStyle name="Normal 31 2 3 4 5 5" xfId="8744"/>
    <cellStyle name="Normal 31 2 3 4 6" xfId="1804"/>
    <cellStyle name="Normal 31 2 3 4 6 2" xfId="5664"/>
    <cellStyle name="Normal 31 2 3 4 6 3" xfId="10598"/>
    <cellStyle name="Normal 31 2 3 4 7" xfId="3031"/>
    <cellStyle name="Normal 31 2 3 4 7 2" xfId="6888"/>
    <cellStyle name="Normal 31 2 3 4 7 3" xfId="11804"/>
    <cellStyle name="Normal 31 2 3 4 8" xfId="4440"/>
    <cellStyle name="Normal 31 2 3 4 8 2" xfId="9356"/>
    <cellStyle name="Normal 31 2 3 4 9" xfId="8113"/>
    <cellStyle name="Normal 31 2 3 5" xfId="694"/>
    <cellStyle name="Normal 31 2 3 5 2" xfId="1044"/>
    <cellStyle name="Normal 31 2 3 5 2 2" xfId="1658"/>
    <cellStyle name="Normal 31 2 3 5 2 2 2" xfId="2884"/>
    <cellStyle name="Normal 31 2 3 5 2 2 2 2" xfId="6744"/>
    <cellStyle name="Normal 31 2 3 5 2 2 2 3" xfId="11696"/>
    <cellStyle name="Normal 31 2 3 5 2 2 3" xfId="4112"/>
    <cellStyle name="Normal 31 2 3 5 2 2 3 2" xfId="7968"/>
    <cellStyle name="Normal 31 2 3 5 2 2 3 3" xfId="10454"/>
    <cellStyle name="Normal 31 2 3 5 2 2 4" xfId="5520"/>
    <cellStyle name="Normal 31 2 3 5 2 2 5" xfId="9212"/>
    <cellStyle name="Normal 31 2 3 5 2 3" xfId="2272"/>
    <cellStyle name="Normal 31 2 3 5 2 3 2" xfId="6132"/>
    <cellStyle name="Normal 31 2 3 5 2 3 3" xfId="11048"/>
    <cellStyle name="Normal 31 2 3 5 2 4" xfId="3500"/>
    <cellStyle name="Normal 31 2 3 5 2 4 2" xfId="7356"/>
    <cellStyle name="Normal 31 2 3 5 2 4 3" xfId="9806"/>
    <cellStyle name="Normal 31 2 3 5 2 5" xfId="4908"/>
    <cellStyle name="Normal 31 2 3 5 2 6" xfId="8563"/>
    <cellStyle name="Normal 31 2 3 5 3" xfId="1352"/>
    <cellStyle name="Normal 31 2 3 5 3 2" xfId="2578"/>
    <cellStyle name="Normal 31 2 3 5 3 2 2" xfId="6438"/>
    <cellStyle name="Normal 31 2 3 5 3 2 3" xfId="11390"/>
    <cellStyle name="Normal 31 2 3 5 3 3" xfId="3806"/>
    <cellStyle name="Normal 31 2 3 5 3 3 2" xfId="7662"/>
    <cellStyle name="Normal 31 2 3 5 3 3 3" xfId="10148"/>
    <cellStyle name="Normal 31 2 3 5 3 4" xfId="5214"/>
    <cellStyle name="Normal 31 2 3 5 3 5" xfId="8906"/>
    <cellStyle name="Normal 31 2 3 5 4" xfId="1966"/>
    <cellStyle name="Normal 31 2 3 5 4 2" xfId="5826"/>
    <cellStyle name="Normal 31 2 3 5 4 3" xfId="10760"/>
    <cellStyle name="Normal 31 2 3 5 5" xfId="3193"/>
    <cellStyle name="Normal 31 2 3 5 5 2" xfId="7050"/>
    <cellStyle name="Normal 31 2 3 5 5 3" xfId="11966"/>
    <cellStyle name="Normal 31 2 3 5 6" xfId="4602"/>
    <cellStyle name="Normal 31 2 3 5 6 2" xfId="9518"/>
    <cellStyle name="Normal 31 2 3 5 7" xfId="8275"/>
    <cellStyle name="Normal 31 2 3 6" xfId="604"/>
    <cellStyle name="Normal 31 2 3 6 2" xfId="954"/>
    <cellStyle name="Normal 31 2 3 6 2 2" xfId="1568"/>
    <cellStyle name="Normal 31 2 3 6 2 2 2" xfId="2794"/>
    <cellStyle name="Normal 31 2 3 6 2 2 2 2" xfId="6654"/>
    <cellStyle name="Normal 31 2 3 6 2 2 2 3" xfId="11606"/>
    <cellStyle name="Normal 31 2 3 6 2 2 3" xfId="4022"/>
    <cellStyle name="Normal 31 2 3 6 2 2 3 2" xfId="7878"/>
    <cellStyle name="Normal 31 2 3 6 2 2 3 3" xfId="10364"/>
    <cellStyle name="Normal 31 2 3 6 2 2 4" xfId="5430"/>
    <cellStyle name="Normal 31 2 3 6 2 2 5" xfId="9122"/>
    <cellStyle name="Normal 31 2 3 6 2 3" xfId="2182"/>
    <cellStyle name="Normal 31 2 3 6 2 3 2" xfId="6042"/>
    <cellStyle name="Normal 31 2 3 6 2 3 3" xfId="10958"/>
    <cellStyle name="Normal 31 2 3 6 2 4" xfId="3410"/>
    <cellStyle name="Normal 31 2 3 6 2 4 2" xfId="7266"/>
    <cellStyle name="Normal 31 2 3 6 2 4 3" xfId="9716"/>
    <cellStyle name="Normal 31 2 3 6 2 5" xfId="4818"/>
    <cellStyle name="Normal 31 2 3 6 2 6" xfId="8473"/>
    <cellStyle name="Normal 31 2 3 6 3" xfId="1262"/>
    <cellStyle name="Normal 31 2 3 6 3 2" xfId="2488"/>
    <cellStyle name="Normal 31 2 3 6 3 2 2" xfId="6348"/>
    <cellStyle name="Normal 31 2 3 6 3 2 3" xfId="11300"/>
    <cellStyle name="Normal 31 2 3 6 3 3" xfId="3716"/>
    <cellStyle name="Normal 31 2 3 6 3 3 2" xfId="7572"/>
    <cellStyle name="Normal 31 2 3 6 3 3 3" xfId="10058"/>
    <cellStyle name="Normal 31 2 3 6 3 4" xfId="5124"/>
    <cellStyle name="Normal 31 2 3 6 3 5" xfId="8816"/>
    <cellStyle name="Normal 31 2 3 6 4" xfId="1876"/>
    <cellStyle name="Normal 31 2 3 6 4 2" xfId="5736"/>
    <cellStyle name="Normal 31 2 3 6 4 3" xfId="10670"/>
    <cellStyle name="Normal 31 2 3 6 5" xfId="3103"/>
    <cellStyle name="Normal 31 2 3 6 5 2" xfId="6960"/>
    <cellStyle name="Normal 31 2 3 6 5 3" xfId="11876"/>
    <cellStyle name="Normal 31 2 3 6 6" xfId="4512"/>
    <cellStyle name="Normal 31 2 3 6 6 2" xfId="9428"/>
    <cellStyle name="Normal 31 2 3 6 7" xfId="8185"/>
    <cellStyle name="Normal 31 2 3 7" xfId="490"/>
    <cellStyle name="Normal 31 2 3 7 2" xfId="840"/>
    <cellStyle name="Normal 31 2 3 7 2 2" xfId="1478"/>
    <cellStyle name="Normal 31 2 3 7 2 2 2" xfId="2704"/>
    <cellStyle name="Normal 31 2 3 7 2 2 2 2" xfId="6564"/>
    <cellStyle name="Normal 31 2 3 7 2 2 2 3" xfId="11516"/>
    <cellStyle name="Normal 31 2 3 7 2 2 3" xfId="3932"/>
    <cellStyle name="Normal 31 2 3 7 2 2 3 2" xfId="7788"/>
    <cellStyle name="Normal 31 2 3 7 2 2 3 3" xfId="10274"/>
    <cellStyle name="Normal 31 2 3 7 2 2 4" xfId="5340"/>
    <cellStyle name="Normal 31 2 3 7 2 2 5" xfId="9032"/>
    <cellStyle name="Normal 31 2 3 7 2 3" xfId="2092"/>
    <cellStyle name="Normal 31 2 3 7 2 3 2" xfId="5952"/>
    <cellStyle name="Normal 31 2 3 7 2 3 3" xfId="10868"/>
    <cellStyle name="Normal 31 2 3 7 2 4" xfId="3320"/>
    <cellStyle name="Normal 31 2 3 7 2 4 2" xfId="7176"/>
    <cellStyle name="Normal 31 2 3 7 2 4 3" xfId="9626"/>
    <cellStyle name="Normal 31 2 3 7 2 5" xfId="4728"/>
    <cellStyle name="Normal 31 2 3 7 2 6" xfId="8383"/>
    <cellStyle name="Normal 31 2 3 7 3" xfId="1172"/>
    <cellStyle name="Normal 31 2 3 7 3 2" xfId="2398"/>
    <cellStyle name="Normal 31 2 3 7 3 2 2" xfId="6258"/>
    <cellStyle name="Normal 31 2 3 7 3 2 3" xfId="11210"/>
    <cellStyle name="Normal 31 2 3 7 3 3" xfId="3626"/>
    <cellStyle name="Normal 31 2 3 7 3 3 2" xfId="7482"/>
    <cellStyle name="Normal 31 2 3 7 3 3 3" xfId="9968"/>
    <cellStyle name="Normal 31 2 3 7 3 4" xfId="5034"/>
    <cellStyle name="Normal 31 2 3 7 3 5" xfId="8726"/>
    <cellStyle name="Normal 31 2 3 7 4" xfId="1786"/>
    <cellStyle name="Normal 31 2 3 7 4 2" xfId="5646"/>
    <cellStyle name="Normal 31 2 3 7 4 3" xfId="10580"/>
    <cellStyle name="Normal 31 2 3 7 5" xfId="3013"/>
    <cellStyle name="Normal 31 2 3 7 5 2" xfId="6870"/>
    <cellStyle name="Normal 31 2 3 7 5 3" xfId="12056"/>
    <cellStyle name="Normal 31 2 3 7 6" xfId="4422"/>
    <cellStyle name="Normal 31 2 3 7 6 2" xfId="9338"/>
    <cellStyle name="Normal 31 2 3 7 7" xfId="8095"/>
    <cellStyle name="Normal 31 2 3 8" xfId="802"/>
    <cellStyle name="Normal 31 2 3 8 2" xfId="1442"/>
    <cellStyle name="Normal 31 2 3 8 2 2" xfId="2668"/>
    <cellStyle name="Normal 31 2 3 8 2 2 2" xfId="6528"/>
    <cellStyle name="Normal 31 2 3 8 2 2 3" xfId="11480"/>
    <cellStyle name="Normal 31 2 3 8 2 3" xfId="3896"/>
    <cellStyle name="Normal 31 2 3 8 2 3 2" xfId="7752"/>
    <cellStyle name="Normal 31 2 3 8 2 3 3" xfId="10238"/>
    <cellStyle name="Normal 31 2 3 8 2 4" xfId="5304"/>
    <cellStyle name="Normal 31 2 3 8 2 5" xfId="8996"/>
    <cellStyle name="Normal 31 2 3 8 3" xfId="2056"/>
    <cellStyle name="Normal 31 2 3 8 3 2" xfId="5916"/>
    <cellStyle name="Normal 31 2 3 8 3 3" xfId="10850"/>
    <cellStyle name="Normal 31 2 3 8 4" xfId="3284"/>
    <cellStyle name="Normal 31 2 3 8 4 2" xfId="7140"/>
    <cellStyle name="Normal 31 2 3 8 4 3" xfId="9608"/>
    <cellStyle name="Normal 31 2 3 8 5" xfId="4692"/>
    <cellStyle name="Normal 31 2 3 8 6" xfId="8365"/>
    <cellStyle name="Normal 31 2 3 9" xfId="1136"/>
    <cellStyle name="Normal 31 2 3 9 2" xfId="2362"/>
    <cellStyle name="Normal 31 2 3 9 2 2" xfId="6222"/>
    <cellStyle name="Normal 31 2 3 9 2 3" xfId="11174"/>
    <cellStyle name="Normal 31 2 3 9 3" xfId="3590"/>
    <cellStyle name="Normal 31 2 3 9 3 2" xfId="7446"/>
    <cellStyle name="Normal 31 2 3 9 3 3" xfId="9932"/>
    <cellStyle name="Normal 31 2 3 9 4" xfId="4998"/>
    <cellStyle name="Normal 31 2 3 9 5" xfId="8690"/>
    <cellStyle name="Normal 31 2 4" xfId="469"/>
    <cellStyle name="Normal 31 2 4 10" xfId="4401"/>
    <cellStyle name="Normal 31 2 4 10 2" xfId="9317"/>
    <cellStyle name="Normal 31 2 4 11" xfId="8074"/>
    <cellStyle name="Normal 31 2 4 2" xfId="582"/>
    <cellStyle name="Normal 31 2 4 2 2" xfId="763"/>
    <cellStyle name="Normal 31 2 4 2 2 2" xfId="1113"/>
    <cellStyle name="Normal 31 2 4 2 2 2 2" xfId="1727"/>
    <cellStyle name="Normal 31 2 4 2 2 2 2 2" xfId="2953"/>
    <cellStyle name="Normal 31 2 4 2 2 2 2 2 2" xfId="6813"/>
    <cellStyle name="Normal 31 2 4 2 2 2 2 2 3" xfId="11765"/>
    <cellStyle name="Normal 31 2 4 2 2 2 2 3" xfId="4181"/>
    <cellStyle name="Normal 31 2 4 2 2 2 2 3 2" xfId="8037"/>
    <cellStyle name="Normal 31 2 4 2 2 2 2 3 3" xfId="10523"/>
    <cellStyle name="Normal 31 2 4 2 2 2 2 4" xfId="5589"/>
    <cellStyle name="Normal 31 2 4 2 2 2 2 5" xfId="9281"/>
    <cellStyle name="Normal 31 2 4 2 2 2 3" xfId="2341"/>
    <cellStyle name="Normal 31 2 4 2 2 2 3 2" xfId="6201"/>
    <cellStyle name="Normal 31 2 4 2 2 2 3 3" xfId="11117"/>
    <cellStyle name="Normal 31 2 4 2 2 2 4" xfId="3569"/>
    <cellStyle name="Normal 31 2 4 2 2 2 4 2" xfId="7425"/>
    <cellStyle name="Normal 31 2 4 2 2 2 4 3" xfId="9875"/>
    <cellStyle name="Normal 31 2 4 2 2 2 5" xfId="4977"/>
    <cellStyle name="Normal 31 2 4 2 2 2 6" xfId="8632"/>
    <cellStyle name="Normal 31 2 4 2 2 3" xfId="1421"/>
    <cellStyle name="Normal 31 2 4 2 2 3 2" xfId="2647"/>
    <cellStyle name="Normal 31 2 4 2 2 3 2 2" xfId="6507"/>
    <cellStyle name="Normal 31 2 4 2 2 3 2 3" xfId="11459"/>
    <cellStyle name="Normal 31 2 4 2 2 3 3" xfId="3875"/>
    <cellStyle name="Normal 31 2 4 2 2 3 3 2" xfId="7731"/>
    <cellStyle name="Normal 31 2 4 2 2 3 3 3" xfId="10217"/>
    <cellStyle name="Normal 31 2 4 2 2 3 4" xfId="5283"/>
    <cellStyle name="Normal 31 2 4 2 2 3 5" xfId="8975"/>
    <cellStyle name="Normal 31 2 4 2 2 4" xfId="2035"/>
    <cellStyle name="Normal 31 2 4 2 2 4 2" xfId="5895"/>
    <cellStyle name="Normal 31 2 4 2 2 4 3" xfId="10829"/>
    <cellStyle name="Normal 31 2 4 2 2 5" xfId="3262"/>
    <cellStyle name="Normal 31 2 4 2 2 5 2" xfId="7119"/>
    <cellStyle name="Normal 31 2 4 2 2 5 3" xfId="12035"/>
    <cellStyle name="Normal 31 2 4 2 2 6" xfId="4671"/>
    <cellStyle name="Normal 31 2 4 2 2 6 2" xfId="9587"/>
    <cellStyle name="Normal 31 2 4 2 2 7" xfId="8344"/>
    <cellStyle name="Normal 31 2 4 2 3" xfId="673"/>
    <cellStyle name="Normal 31 2 4 2 3 2" xfId="1023"/>
    <cellStyle name="Normal 31 2 4 2 3 2 2" xfId="1637"/>
    <cellStyle name="Normal 31 2 4 2 3 2 2 2" xfId="2863"/>
    <cellStyle name="Normal 31 2 4 2 3 2 2 2 2" xfId="6723"/>
    <cellStyle name="Normal 31 2 4 2 3 2 2 2 3" xfId="11675"/>
    <cellStyle name="Normal 31 2 4 2 3 2 2 3" xfId="4091"/>
    <cellStyle name="Normal 31 2 4 2 3 2 2 3 2" xfId="7947"/>
    <cellStyle name="Normal 31 2 4 2 3 2 2 3 3" xfId="10433"/>
    <cellStyle name="Normal 31 2 4 2 3 2 2 4" xfId="5499"/>
    <cellStyle name="Normal 31 2 4 2 3 2 2 5" xfId="9191"/>
    <cellStyle name="Normal 31 2 4 2 3 2 3" xfId="2251"/>
    <cellStyle name="Normal 31 2 4 2 3 2 3 2" xfId="6111"/>
    <cellStyle name="Normal 31 2 4 2 3 2 3 3" xfId="11027"/>
    <cellStyle name="Normal 31 2 4 2 3 2 4" xfId="3479"/>
    <cellStyle name="Normal 31 2 4 2 3 2 4 2" xfId="7335"/>
    <cellStyle name="Normal 31 2 4 2 3 2 4 3" xfId="9785"/>
    <cellStyle name="Normal 31 2 4 2 3 2 5" xfId="4887"/>
    <cellStyle name="Normal 31 2 4 2 3 2 6" xfId="8542"/>
    <cellStyle name="Normal 31 2 4 2 3 3" xfId="1331"/>
    <cellStyle name="Normal 31 2 4 2 3 3 2" xfId="2557"/>
    <cellStyle name="Normal 31 2 4 2 3 3 2 2" xfId="6417"/>
    <cellStyle name="Normal 31 2 4 2 3 3 2 3" xfId="11369"/>
    <cellStyle name="Normal 31 2 4 2 3 3 3" xfId="3785"/>
    <cellStyle name="Normal 31 2 4 2 3 3 3 2" xfId="7641"/>
    <cellStyle name="Normal 31 2 4 2 3 3 3 3" xfId="10127"/>
    <cellStyle name="Normal 31 2 4 2 3 3 4" xfId="5193"/>
    <cellStyle name="Normal 31 2 4 2 3 3 5" xfId="8885"/>
    <cellStyle name="Normal 31 2 4 2 3 4" xfId="1945"/>
    <cellStyle name="Normal 31 2 4 2 3 4 2" xfId="5805"/>
    <cellStyle name="Normal 31 2 4 2 3 4 3" xfId="10739"/>
    <cellStyle name="Normal 31 2 4 2 3 5" xfId="3172"/>
    <cellStyle name="Normal 31 2 4 2 3 5 2" xfId="7029"/>
    <cellStyle name="Normal 31 2 4 2 3 5 3" xfId="11945"/>
    <cellStyle name="Normal 31 2 4 2 3 6" xfId="4581"/>
    <cellStyle name="Normal 31 2 4 2 3 6 2" xfId="9497"/>
    <cellStyle name="Normal 31 2 4 2 3 7" xfId="8254"/>
    <cellStyle name="Normal 31 2 4 2 4" xfId="932"/>
    <cellStyle name="Normal 31 2 4 2 4 2" xfId="1547"/>
    <cellStyle name="Normal 31 2 4 2 4 2 2" xfId="2773"/>
    <cellStyle name="Normal 31 2 4 2 4 2 2 2" xfId="6633"/>
    <cellStyle name="Normal 31 2 4 2 4 2 2 3" xfId="11585"/>
    <cellStyle name="Normal 31 2 4 2 4 2 3" xfId="4001"/>
    <cellStyle name="Normal 31 2 4 2 4 2 3 2" xfId="7857"/>
    <cellStyle name="Normal 31 2 4 2 4 2 3 3" xfId="10343"/>
    <cellStyle name="Normal 31 2 4 2 4 2 4" xfId="5409"/>
    <cellStyle name="Normal 31 2 4 2 4 2 5" xfId="9101"/>
    <cellStyle name="Normal 31 2 4 2 4 3" xfId="2161"/>
    <cellStyle name="Normal 31 2 4 2 4 3 2" xfId="6021"/>
    <cellStyle name="Normal 31 2 4 2 4 3 3" xfId="10937"/>
    <cellStyle name="Normal 31 2 4 2 4 4" xfId="3389"/>
    <cellStyle name="Normal 31 2 4 2 4 4 2" xfId="7245"/>
    <cellStyle name="Normal 31 2 4 2 4 4 3" xfId="9695"/>
    <cellStyle name="Normal 31 2 4 2 4 5" xfId="4797"/>
    <cellStyle name="Normal 31 2 4 2 4 6" xfId="8452"/>
    <cellStyle name="Normal 31 2 4 2 5" xfId="1241"/>
    <cellStyle name="Normal 31 2 4 2 5 2" xfId="2467"/>
    <cellStyle name="Normal 31 2 4 2 5 2 2" xfId="6327"/>
    <cellStyle name="Normal 31 2 4 2 5 2 3" xfId="11279"/>
    <cellStyle name="Normal 31 2 4 2 5 3" xfId="3695"/>
    <cellStyle name="Normal 31 2 4 2 5 3 2" xfId="7551"/>
    <cellStyle name="Normal 31 2 4 2 5 3 3" xfId="10037"/>
    <cellStyle name="Normal 31 2 4 2 5 4" xfId="5103"/>
    <cellStyle name="Normal 31 2 4 2 5 5" xfId="8795"/>
    <cellStyle name="Normal 31 2 4 2 6" xfId="1855"/>
    <cellStyle name="Normal 31 2 4 2 6 2" xfId="5715"/>
    <cellStyle name="Normal 31 2 4 2 6 3" xfId="10649"/>
    <cellStyle name="Normal 31 2 4 2 7" xfId="3082"/>
    <cellStyle name="Normal 31 2 4 2 7 2" xfId="6939"/>
    <cellStyle name="Normal 31 2 4 2 7 3" xfId="11855"/>
    <cellStyle name="Normal 31 2 4 2 8" xfId="4491"/>
    <cellStyle name="Normal 31 2 4 2 8 2" xfId="9407"/>
    <cellStyle name="Normal 31 2 4 2 9" xfId="8164"/>
    <cellStyle name="Normal 31 2 4 3" xfId="727"/>
    <cellStyle name="Normal 31 2 4 3 2" xfId="1077"/>
    <cellStyle name="Normal 31 2 4 3 2 2" xfId="1691"/>
    <cellStyle name="Normal 31 2 4 3 2 2 2" xfId="2917"/>
    <cellStyle name="Normal 31 2 4 3 2 2 2 2" xfId="6777"/>
    <cellStyle name="Normal 31 2 4 3 2 2 2 3" xfId="11729"/>
    <cellStyle name="Normal 31 2 4 3 2 2 3" xfId="4145"/>
    <cellStyle name="Normal 31 2 4 3 2 2 3 2" xfId="8001"/>
    <cellStyle name="Normal 31 2 4 3 2 2 3 3" xfId="10487"/>
    <cellStyle name="Normal 31 2 4 3 2 2 4" xfId="5553"/>
    <cellStyle name="Normal 31 2 4 3 2 2 5" xfId="9245"/>
    <cellStyle name="Normal 31 2 4 3 2 3" xfId="2305"/>
    <cellStyle name="Normal 31 2 4 3 2 3 2" xfId="6165"/>
    <cellStyle name="Normal 31 2 4 3 2 3 3" xfId="11081"/>
    <cellStyle name="Normal 31 2 4 3 2 4" xfId="3533"/>
    <cellStyle name="Normal 31 2 4 3 2 4 2" xfId="7389"/>
    <cellStyle name="Normal 31 2 4 3 2 4 3" xfId="9839"/>
    <cellStyle name="Normal 31 2 4 3 2 5" xfId="4941"/>
    <cellStyle name="Normal 31 2 4 3 2 6" xfId="8596"/>
    <cellStyle name="Normal 31 2 4 3 3" xfId="1385"/>
    <cellStyle name="Normal 31 2 4 3 3 2" xfId="2611"/>
    <cellStyle name="Normal 31 2 4 3 3 2 2" xfId="6471"/>
    <cellStyle name="Normal 31 2 4 3 3 2 3" xfId="11423"/>
    <cellStyle name="Normal 31 2 4 3 3 3" xfId="3839"/>
    <cellStyle name="Normal 31 2 4 3 3 3 2" xfId="7695"/>
    <cellStyle name="Normal 31 2 4 3 3 3 3" xfId="10181"/>
    <cellStyle name="Normal 31 2 4 3 3 4" xfId="5247"/>
    <cellStyle name="Normal 31 2 4 3 3 5" xfId="8939"/>
    <cellStyle name="Normal 31 2 4 3 4" xfId="1999"/>
    <cellStyle name="Normal 31 2 4 3 4 2" xfId="5859"/>
    <cellStyle name="Normal 31 2 4 3 4 3" xfId="10793"/>
    <cellStyle name="Normal 31 2 4 3 5" xfId="3226"/>
    <cellStyle name="Normal 31 2 4 3 5 2" xfId="7083"/>
    <cellStyle name="Normal 31 2 4 3 5 3" xfId="11999"/>
    <cellStyle name="Normal 31 2 4 3 6" xfId="4635"/>
    <cellStyle name="Normal 31 2 4 3 6 2" xfId="9551"/>
    <cellStyle name="Normal 31 2 4 3 7" xfId="8308"/>
    <cellStyle name="Normal 31 2 4 4" xfId="637"/>
    <cellStyle name="Normal 31 2 4 4 2" xfId="987"/>
    <cellStyle name="Normal 31 2 4 4 2 2" xfId="1601"/>
    <cellStyle name="Normal 31 2 4 4 2 2 2" xfId="2827"/>
    <cellStyle name="Normal 31 2 4 4 2 2 2 2" xfId="6687"/>
    <cellStyle name="Normal 31 2 4 4 2 2 2 3" xfId="11639"/>
    <cellStyle name="Normal 31 2 4 4 2 2 3" xfId="4055"/>
    <cellStyle name="Normal 31 2 4 4 2 2 3 2" xfId="7911"/>
    <cellStyle name="Normal 31 2 4 4 2 2 3 3" xfId="10397"/>
    <cellStyle name="Normal 31 2 4 4 2 2 4" xfId="5463"/>
    <cellStyle name="Normal 31 2 4 4 2 2 5" xfId="9155"/>
    <cellStyle name="Normal 31 2 4 4 2 3" xfId="2215"/>
    <cellStyle name="Normal 31 2 4 4 2 3 2" xfId="6075"/>
    <cellStyle name="Normal 31 2 4 4 2 3 3" xfId="10991"/>
    <cellStyle name="Normal 31 2 4 4 2 4" xfId="3443"/>
    <cellStyle name="Normal 31 2 4 4 2 4 2" xfId="7299"/>
    <cellStyle name="Normal 31 2 4 4 2 4 3" xfId="9749"/>
    <cellStyle name="Normal 31 2 4 4 2 5" xfId="4851"/>
    <cellStyle name="Normal 31 2 4 4 2 6" xfId="8506"/>
    <cellStyle name="Normal 31 2 4 4 3" xfId="1295"/>
    <cellStyle name="Normal 31 2 4 4 3 2" xfId="2521"/>
    <cellStyle name="Normal 31 2 4 4 3 2 2" xfId="6381"/>
    <cellStyle name="Normal 31 2 4 4 3 2 3" xfId="11333"/>
    <cellStyle name="Normal 31 2 4 4 3 3" xfId="3749"/>
    <cellStyle name="Normal 31 2 4 4 3 3 2" xfId="7605"/>
    <cellStyle name="Normal 31 2 4 4 3 3 3" xfId="10091"/>
    <cellStyle name="Normal 31 2 4 4 3 4" xfId="5157"/>
    <cellStyle name="Normal 31 2 4 4 3 5" xfId="8849"/>
    <cellStyle name="Normal 31 2 4 4 4" xfId="1909"/>
    <cellStyle name="Normal 31 2 4 4 4 2" xfId="5769"/>
    <cellStyle name="Normal 31 2 4 4 4 3" xfId="10703"/>
    <cellStyle name="Normal 31 2 4 4 5" xfId="3136"/>
    <cellStyle name="Normal 31 2 4 4 5 2" xfId="6993"/>
    <cellStyle name="Normal 31 2 4 4 5 3" xfId="11909"/>
    <cellStyle name="Normal 31 2 4 4 6" xfId="4545"/>
    <cellStyle name="Normal 31 2 4 4 6 2" xfId="9461"/>
    <cellStyle name="Normal 31 2 4 4 7" xfId="8218"/>
    <cellStyle name="Normal 31 2 4 5" xfId="543"/>
    <cellStyle name="Normal 31 2 4 5 2" xfId="893"/>
    <cellStyle name="Normal 31 2 4 5 2 2" xfId="1511"/>
    <cellStyle name="Normal 31 2 4 5 2 2 2" xfId="2737"/>
    <cellStyle name="Normal 31 2 4 5 2 2 2 2" xfId="6597"/>
    <cellStyle name="Normal 31 2 4 5 2 2 2 3" xfId="11549"/>
    <cellStyle name="Normal 31 2 4 5 2 2 3" xfId="3965"/>
    <cellStyle name="Normal 31 2 4 5 2 2 3 2" xfId="7821"/>
    <cellStyle name="Normal 31 2 4 5 2 2 3 3" xfId="10307"/>
    <cellStyle name="Normal 31 2 4 5 2 2 4" xfId="5373"/>
    <cellStyle name="Normal 31 2 4 5 2 2 5" xfId="9065"/>
    <cellStyle name="Normal 31 2 4 5 2 3" xfId="2125"/>
    <cellStyle name="Normal 31 2 4 5 2 3 2" xfId="5985"/>
    <cellStyle name="Normal 31 2 4 5 2 3 3" xfId="11153"/>
    <cellStyle name="Normal 31 2 4 5 2 4" xfId="3353"/>
    <cellStyle name="Normal 31 2 4 5 2 4 2" xfId="7209"/>
    <cellStyle name="Normal 31 2 4 5 2 4 3" xfId="9911"/>
    <cellStyle name="Normal 31 2 4 5 2 5" xfId="4761"/>
    <cellStyle name="Normal 31 2 4 5 2 6" xfId="8669"/>
    <cellStyle name="Normal 31 2 4 5 3" xfId="1205"/>
    <cellStyle name="Normal 31 2 4 5 3 2" xfId="2431"/>
    <cellStyle name="Normal 31 2 4 5 3 2 2" xfId="6291"/>
    <cellStyle name="Normal 31 2 4 5 3 2 3" xfId="11243"/>
    <cellStyle name="Normal 31 2 4 5 3 3" xfId="3659"/>
    <cellStyle name="Normal 31 2 4 5 3 3 2" xfId="7515"/>
    <cellStyle name="Normal 31 2 4 5 3 3 3" xfId="10001"/>
    <cellStyle name="Normal 31 2 4 5 3 4" xfId="5067"/>
    <cellStyle name="Normal 31 2 4 5 3 5" xfId="8759"/>
    <cellStyle name="Normal 31 2 4 5 4" xfId="1819"/>
    <cellStyle name="Normal 31 2 4 5 4 2" xfId="5679"/>
    <cellStyle name="Normal 31 2 4 5 4 2 2" xfId="11135"/>
    <cellStyle name="Normal 31 2 4 5 4 3" xfId="9893"/>
    <cellStyle name="Normal 31 2 4 5 4 4" xfId="8650"/>
    <cellStyle name="Normal 31 2 4 5 5" xfId="3046"/>
    <cellStyle name="Normal 31 2 4 5 5 2" xfId="6903"/>
    <cellStyle name="Normal 31 2 4 5 5 3" xfId="10613"/>
    <cellStyle name="Normal 31 2 4 5 6" xfId="4455"/>
    <cellStyle name="Normal 31 2 4 5 6 2" xfId="9371"/>
    <cellStyle name="Normal 31 2 4 5 7" xfId="8128"/>
    <cellStyle name="Normal 31 2 4 6" xfId="819"/>
    <cellStyle name="Normal 31 2 4 6 2" xfId="1457"/>
    <cellStyle name="Normal 31 2 4 6 2 2" xfId="2683"/>
    <cellStyle name="Normal 31 2 4 6 2 2 2" xfId="6543"/>
    <cellStyle name="Normal 31 2 4 6 2 2 3" xfId="11495"/>
    <cellStyle name="Normal 31 2 4 6 2 3" xfId="3911"/>
    <cellStyle name="Normal 31 2 4 6 2 3 2" xfId="7767"/>
    <cellStyle name="Normal 31 2 4 6 2 3 3" xfId="10253"/>
    <cellStyle name="Normal 31 2 4 6 2 4" xfId="5319"/>
    <cellStyle name="Normal 31 2 4 6 2 5" xfId="9011"/>
    <cellStyle name="Normal 31 2 4 6 3" xfId="2071"/>
    <cellStyle name="Normal 31 2 4 6 3 2" xfId="5931"/>
    <cellStyle name="Normal 31 2 4 6 3 3" xfId="10901"/>
    <cellStyle name="Normal 31 2 4 6 4" xfId="3299"/>
    <cellStyle name="Normal 31 2 4 6 4 2" xfId="7155"/>
    <cellStyle name="Normal 31 2 4 6 4 3" xfId="9659"/>
    <cellStyle name="Normal 31 2 4 6 5" xfId="4707"/>
    <cellStyle name="Normal 31 2 4 6 6" xfId="8416"/>
    <cellStyle name="Normal 31 2 4 7" xfId="1151"/>
    <cellStyle name="Normal 31 2 4 7 2" xfId="2377"/>
    <cellStyle name="Normal 31 2 4 7 2 2" xfId="6237"/>
    <cellStyle name="Normal 31 2 4 7 2 3" xfId="11189"/>
    <cellStyle name="Normal 31 2 4 7 3" xfId="3605"/>
    <cellStyle name="Normal 31 2 4 7 3 2" xfId="7461"/>
    <cellStyle name="Normal 31 2 4 7 3 3" xfId="9947"/>
    <cellStyle name="Normal 31 2 4 7 4" xfId="5013"/>
    <cellStyle name="Normal 31 2 4 7 5" xfId="8705"/>
    <cellStyle name="Normal 31 2 4 8" xfId="1765"/>
    <cellStyle name="Normal 31 2 4 8 2" xfId="5625"/>
    <cellStyle name="Normal 31 2 4 8 3" xfId="10559"/>
    <cellStyle name="Normal 31 2 4 9" xfId="2992"/>
    <cellStyle name="Normal 31 2 4 9 2" xfId="6849"/>
    <cellStyle name="Normal 31 2 4 9 3" xfId="11819"/>
    <cellStyle name="Normal 31 2 5" xfId="564"/>
    <cellStyle name="Normal 31 2 5 2" xfId="745"/>
    <cellStyle name="Normal 31 2 5 2 2" xfId="1095"/>
    <cellStyle name="Normal 31 2 5 2 2 2" xfId="1709"/>
    <cellStyle name="Normal 31 2 5 2 2 2 2" xfId="2935"/>
    <cellStyle name="Normal 31 2 5 2 2 2 2 2" xfId="6795"/>
    <cellStyle name="Normal 31 2 5 2 2 2 2 3" xfId="11747"/>
    <cellStyle name="Normal 31 2 5 2 2 2 3" xfId="4163"/>
    <cellStyle name="Normal 31 2 5 2 2 2 3 2" xfId="8019"/>
    <cellStyle name="Normal 31 2 5 2 2 2 3 3" xfId="10505"/>
    <cellStyle name="Normal 31 2 5 2 2 2 4" xfId="5571"/>
    <cellStyle name="Normal 31 2 5 2 2 2 5" xfId="9263"/>
    <cellStyle name="Normal 31 2 5 2 2 3" xfId="2323"/>
    <cellStyle name="Normal 31 2 5 2 2 3 2" xfId="6183"/>
    <cellStyle name="Normal 31 2 5 2 2 3 3" xfId="11099"/>
    <cellStyle name="Normal 31 2 5 2 2 4" xfId="3551"/>
    <cellStyle name="Normal 31 2 5 2 2 4 2" xfId="7407"/>
    <cellStyle name="Normal 31 2 5 2 2 4 3" xfId="9857"/>
    <cellStyle name="Normal 31 2 5 2 2 5" xfId="4959"/>
    <cellStyle name="Normal 31 2 5 2 2 6" xfId="8614"/>
    <cellStyle name="Normal 31 2 5 2 3" xfId="1403"/>
    <cellStyle name="Normal 31 2 5 2 3 2" xfId="2629"/>
    <cellStyle name="Normal 31 2 5 2 3 2 2" xfId="6489"/>
    <cellStyle name="Normal 31 2 5 2 3 2 3" xfId="11441"/>
    <cellStyle name="Normal 31 2 5 2 3 3" xfId="3857"/>
    <cellStyle name="Normal 31 2 5 2 3 3 2" xfId="7713"/>
    <cellStyle name="Normal 31 2 5 2 3 3 3" xfId="10199"/>
    <cellStyle name="Normal 31 2 5 2 3 4" xfId="5265"/>
    <cellStyle name="Normal 31 2 5 2 3 5" xfId="8957"/>
    <cellStyle name="Normal 31 2 5 2 4" xfId="2017"/>
    <cellStyle name="Normal 31 2 5 2 4 2" xfId="5877"/>
    <cellStyle name="Normal 31 2 5 2 4 3" xfId="10811"/>
    <cellStyle name="Normal 31 2 5 2 5" xfId="3244"/>
    <cellStyle name="Normal 31 2 5 2 5 2" xfId="7101"/>
    <cellStyle name="Normal 31 2 5 2 5 3" xfId="12017"/>
    <cellStyle name="Normal 31 2 5 2 6" xfId="4653"/>
    <cellStyle name="Normal 31 2 5 2 6 2" xfId="9569"/>
    <cellStyle name="Normal 31 2 5 2 7" xfId="8326"/>
    <cellStyle name="Normal 31 2 5 3" xfId="655"/>
    <cellStyle name="Normal 31 2 5 3 2" xfId="1005"/>
    <cellStyle name="Normal 31 2 5 3 2 2" xfId="1619"/>
    <cellStyle name="Normal 31 2 5 3 2 2 2" xfId="2845"/>
    <cellStyle name="Normal 31 2 5 3 2 2 2 2" xfId="6705"/>
    <cellStyle name="Normal 31 2 5 3 2 2 2 3" xfId="11657"/>
    <cellStyle name="Normal 31 2 5 3 2 2 3" xfId="4073"/>
    <cellStyle name="Normal 31 2 5 3 2 2 3 2" xfId="7929"/>
    <cellStyle name="Normal 31 2 5 3 2 2 3 3" xfId="10415"/>
    <cellStyle name="Normal 31 2 5 3 2 2 4" xfId="5481"/>
    <cellStyle name="Normal 31 2 5 3 2 2 5" xfId="9173"/>
    <cellStyle name="Normal 31 2 5 3 2 3" xfId="2233"/>
    <cellStyle name="Normal 31 2 5 3 2 3 2" xfId="6093"/>
    <cellStyle name="Normal 31 2 5 3 2 3 3" xfId="11009"/>
    <cellStyle name="Normal 31 2 5 3 2 4" xfId="3461"/>
    <cellStyle name="Normal 31 2 5 3 2 4 2" xfId="7317"/>
    <cellStyle name="Normal 31 2 5 3 2 4 3" xfId="9767"/>
    <cellStyle name="Normal 31 2 5 3 2 5" xfId="4869"/>
    <cellStyle name="Normal 31 2 5 3 2 6" xfId="8524"/>
    <cellStyle name="Normal 31 2 5 3 3" xfId="1313"/>
    <cellStyle name="Normal 31 2 5 3 3 2" xfId="2539"/>
    <cellStyle name="Normal 31 2 5 3 3 2 2" xfId="6399"/>
    <cellStyle name="Normal 31 2 5 3 3 2 3" xfId="11351"/>
    <cellStyle name="Normal 31 2 5 3 3 3" xfId="3767"/>
    <cellStyle name="Normal 31 2 5 3 3 3 2" xfId="7623"/>
    <cellStyle name="Normal 31 2 5 3 3 3 3" xfId="10109"/>
    <cellStyle name="Normal 31 2 5 3 3 4" xfId="5175"/>
    <cellStyle name="Normal 31 2 5 3 3 5" xfId="8867"/>
    <cellStyle name="Normal 31 2 5 3 4" xfId="1927"/>
    <cellStyle name="Normal 31 2 5 3 4 2" xfId="5787"/>
    <cellStyle name="Normal 31 2 5 3 4 3" xfId="10721"/>
    <cellStyle name="Normal 31 2 5 3 5" xfId="3154"/>
    <cellStyle name="Normal 31 2 5 3 5 2" xfId="7011"/>
    <cellStyle name="Normal 31 2 5 3 5 3" xfId="11927"/>
    <cellStyle name="Normal 31 2 5 3 6" xfId="4563"/>
    <cellStyle name="Normal 31 2 5 3 6 2" xfId="9479"/>
    <cellStyle name="Normal 31 2 5 3 7" xfId="8236"/>
    <cellStyle name="Normal 31 2 5 4" xfId="914"/>
    <cellStyle name="Normal 31 2 5 4 2" xfId="1529"/>
    <cellStyle name="Normal 31 2 5 4 2 2" xfId="2755"/>
    <cellStyle name="Normal 31 2 5 4 2 2 2" xfId="6615"/>
    <cellStyle name="Normal 31 2 5 4 2 2 3" xfId="11567"/>
    <cellStyle name="Normal 31 2 5 4 2 3" xfId="3983"/>
    <cellStyle name="Normal 31 2 5 4 2 3 2" xfId="7839"/>
    <cellStyle name="Normal 31 2 5 4 2 3 3" xfId="10325"/>
    <cellStyle name="Normal 31 2 5 4 2 4" xfId="5391"/>
    <cellStyle name="Normal 31 2 5 4 2 5" xfId="9083"/>
    <cellStyle name="Normal 31 2 5 4 3" xfId="2143"/>
    <cellStyle name="Normal 31 2 5 4 3 2" xfId="6003"/>
    <cellStyle name="Normal 31 2 5 4 3 3" xfId="10919"/>
    <cellStyle name="Normal 31 2 5 4 4" xfId="3371"/>
    <cellStyle name="Normal 31 2 5 4 4 2" xfId="7227"/>
    <cellStyle name="Normal 31 2 5 4 4 3" xfId="9677"/>
    <cellStyle name="Normal 31 2 5 4 5" xfId="4779"/>
    <cellStyle name="Normal 31 2 5 4 6" xfId="8434"/>
    <cellStyle name="Normal 31 2 5 5" xfId="1223"/>
    <cellStyle name="Normal 31 2 5 5 2" xfId="2449"/>
    <cellStyle name="Normal 31 2 5 5 2 2" xfId="6309"/>
    <cellStyle name="Normal 31 2 5 5 2 3" xfId="11261"/>
    <cellStyle name="Normal 31 2 5 5 3" xfId="3677"/>
    <cellStyle name="Normal 31 2 5 5 3 2" xfId="7533"/>
    <cellStyle name="Normal 31 2 5 5 3 3" xfId="10019"/>
    <cellStyle name="Normal 31 2 5 5 4" xfId="5085"/>
    <cellStyle name="Normal 31 2 5 5 5" xfId="8777"/>
    <cellStyle name="Normal 31 2 5 6" xfId="1837"/>
    <cellStyle name="Normal 31 2 5 6 2" xfId="5697"/>
    <cellStyle name="Normal 31 2 5 6 3" xfId="10631"/>
    <cellStyle name="Normal 31 2 5 7" xfId="3064"/>
    <cellStyle name="Normal 31 2 5 7 2" xfId="6921"/>
    <cellStyle name="Normal 31 2 5 7 3" xfId="11837"/>
    <cellStyle name="Normal 31 2 5 8" xfId="4473"/>
    <cellStyle name="Normal 31 2 5 8 2" xfId="9389"/>
    <cellStyle name="Normal 31 2 5 9" xfId="8146"/>
    <cellStyle name="Normal 31 2 6" xfId="507"/>
    <cellStyle name="Normal 31 2 6 2" xfId="709"/>
    <cellStyle name="Normal 31 2 6 2 2" xfId="1059"/>
    <cellStyle name="Normal 31 2 6 2 2 2" xfId="1673"/>
    <cellStyle name="Normal 31 2 6 2 2 2 2" xfId="2899"/>
    <cellStyle name="Normal 31 2 6 2 2 2 2 2" xfId="6759"/>
    <cellStyle name="Normal 31 2 6 2 2 2 2 3" xfId="11711"/>
    <cellStyle name="Normal 31 2 6 2 2 2 3" xfId="4127"/>
    <cellStyle name="Normal 31 2 6 2 2 2 3 2" xfId="7983"/>
    <cellStyle name="Normal 31 2 6 2 2 2 3 3" xfId="10469"/>
    <cellStyle name="Normal 31 2 6 2 2 2 4" xfId="5535"/>
    <cellStyle name="Normal 31 2 6 2 2 2 5" xfId="9227"/>
    <cellStyle name="Normal 31 2 6 2 2 3" xfId="2287"/>
    <cellStyle name="Normal 31 2 6 2 2 3 2" xfId="6147"/>
    <cellStyle name="Normal 31 2 6 2 2 3 3" xfId="11063"/>
    <cellStyle name="Normal 31 2 6 2 2 4" xfId="3515"/>
    <cellStyle name="Normal 31 2 6 2 2 4 2" xfId="7371"/>
    <cellStyle name="Normal 31 2 6 2 2 4 3" xfId="9821"/>
    <cellStyle name="Normal 31 2 6 2 2 5" xfId="4923"/>
    <cellStyle name="Normal 31 2 6 2 2 6" xfId="8578"/>
    <cellStyle name="Normal 31 2 6 2 3" xfId="1367"/>
    <cellStyle name="Normal 31 2 6 2 3 2" xfId="2593"/>
    <cellStyle name="Normal 31 2 6 2 3 2 2" xfId="6453"/>
    <cellStyle name="Normal 31 2 6 2 3 2 3" xfId="11405"/>
    <cellStyle name="Normal 31 2 6 2 3 3" xfId="3821"/>
    <cellStyle name="Normal 31 2 6 2 3 3 2" xfId="7677"/>
    <cellStyle name="Normal 31 2 6 2 3 3 3" xfId="10163"/>
    <cellStyle name="Normal 31 2 6 2 3 4" xfId="5229"/>
    <cellStyle name="Normal 31 2 6 2 3 5" xfId="8921"/>
    <cellStyle name="Normal 31 2 6 2 4" xfId="1981"/>
    <cellStyle name="Normal 31 2 6 2 4 2" xfId="5841"/>
    <cellStyle name="Normal 31 2 6 2 4 3" xfId="10775"/>
    <cellStyle name="Normal 31 2 6 2 5" xfId="3208"/>
    <cellStyle name="Normal 31 2 6 2 5 2" xfId="7065"/>
    <cellStyle name="Normal 31 2 6 2 5 3" xfId="11981"/>
    <cellStyle name="Normal 31 2 6 2 6" xfId="4617"/>
    <cellStyle name="Normal 31 2 6 2 6 2" xfId="9533"/>
    <cellStyle name="Normal 31 2 6 2 7" xfId="8290"/>
    <cellStyle name="Normal 31 2 6 3" xfId="619"/>
    <cellStyle name="Normal 31 2 6 3 2" xfId="969"/>
    <cellStyle name="Normal 31 2 6 3 2 2" xfId="1583"/>
    <cellStyle name="Normal 31 2 6 3 2 2 2" xfId="2809"/>
    <cellStyle name="Normal 31 2 6 3 2 2 2 2" xfId="6669"/>
    <cellStyle name="Normal 31 2 6 3 2 2 2 3" xfId="11621"/>
    <cellStyle name="Normal 31 2 6 3 2 2 3" xfId="4037"/>
    <cellStyle name="Normal 31 2 6 3 2 2 3 2" xfId="7893"/>
    <cellStyle name="Normal 31 2 6 3 2 2 3 3" xfId="10379"/>
    <cellStyle name="Normal 31 2 6 3 2 2 4" xfId="5445"/>
    <cellStyle name="Normal 31 2 6 3 2 2 5" xfId="9137"/>
    <cellStyle name="Normal 31 2 6 3 2 3" xfId="2197"/>
    <cellStyle name="Normal 31 2 6 3 2 3 2" xfId="6057"/>
    <cellStyle name="Normal 31 2 6 3 2 3 3" xfId="10973"/>
    <cellStyle name="Normal 31 2 6 3 2 4" xfId="3425"/>
    <cellStyle name="Normal 31 2 6 3 2 4 2" xfId="7281"/>
    <cellStyle name="Normal 31 2 6 3 2 4 3" xfId="9731"/>
    <cellStyle name="Normal 31 2 6 3 2 5" xfId="4833"/>
    <cellStyle name="Normal 31 2 6 3 2 6" xfId="8488"/>
    <cellStyle name="Normal 31 2 6 3 3" xfId="1277"/>
    <cellStyle name="Normal 31 2 6 3 3 2" xfId="2503"/>
    <cellStyle name="Normal 31 2 6 3 3 2 2" xfId="6363"/>
    <cellStyle name="Normal 31 2 6 3 3 2 3" xfId="11315"/>
    <cellStyle name="Normal 31 2 6 3 3 3" xfId="3731"/>
    <cellStyle name="Normal 31 2 6 3 3 3 2" xfId="7587"/>
    <cellStyle name="Normal 31 2 6 3 3 3 3" xfId="10073"/>
    <cellStyle name="Normal 31 2 6 3 3 4" xfId="5139"/>
    <cellStyle name="Normal 31 2 6 3 3 5" xfId="8831"/>
    <cellStyle name="Normal 31 2 6 3 4" xfId="1891"/>
    <cellStyle name="Normal 31 2 6 3 4 2" xfId="5751"/>
    <cellStyle name="Normal 31 2 6 3 4 3" xfId="10685"/>
    <cellStyle name="Normal 31 2 6 3 5" xfId="3118"/>
    <cellStyle name="Normal 31 2 6 3 5 2" xfId="6975"/>
    <cellStyle name="Normal 31 2 6 3 5 3" xfId="11891"/>
    <cellStyle name="Normal 31 2 6 3 6" xfId="4527"/>
    <cellStyle name="Normal 31 2 6 3 6 2" xfId="9443"/>
    <cellStyle name="Normal 31 2 6 3 7" xfId="8200"/>
    <cellStyle name="Normal 31 2 6 4" xfId="857"/>
    <cellStyle name="Normal 31 2 6 4 2" xfId="1493"/>
    <cellStyle name="Normal 31 2 6 4 2 2" xfId="2719"/>
    <cellStyle name="Normal 31 2 6 4 2 2 2" xfId="6579"/>
    <cellStyle name="Normal 31 2 6 4 2 2 3" xfId="11531"/>
    <cellStyle name="Normal 31 2 6 4 2 3" xfId="3947"/>
    <cellStyle name="Normal 31 2 6 4 2 3 2" xfId="7803"/>
    <cellStyle name="Normal 31 2 6 4 2 3 3" xfId="10289"/>
    <cellStyle name="Normal 31 2 6 4 2 4" xfId="5355"/>
    <cellStyle name="Normal 31 2 6 4 2 5" xfId="9047"/>
    <cellStyle name="Normal 31 2 6 4 3" xfId="2107"/>
    <cellStyle name="Normal 31 2 6 4 3 2" xfId="5967"/>
    <cellStyle name="Normal 31 2 6 4 3 3" xfId="10883"/>
    <cellStyle name="Normal 31 2 6 4 4" xfId="3335"/>
    <cellStyle name="Normal 31 2 6 4 4 2" xfId="7191"/>
    <cellStyle name="Normal 31 2 6 4 4 3" xfId="9641"/>
    <cellStyle name="Normal 31 2 6 4 5" xfId="4743"/>
    <cellStyle name="Normal 31 2 6 4 6" xfId="8398"/>
    <cellStyle name="Normal 31 2 6 5" xfId="1187"/>
    <cellStyle name="Normal 31 2 6 5 2" xfId="2413"/>
    <cellStyle name="Normal 31 2 6 5 2 2" xfId="6273"/>
    <cellStyle name="Normal 31 2 6 5 2 3" xfId="11225"/>
    <cellStyle name="Normal 31 2 6 5 3" xfId="3641"/>
    <cellStyle name="Normal 31 2 6 5 3 2" xfId="7497"/>
    <cellStyle name="Normal 31 2 6 5 3 3" xfId="9983"/>
    <cellStyle name="Normal 31 2 6 5 4" xfId="5049"/>
    <cellStyle name="Normal 31 2 6 5 5" xfId="8741"/>
    <cellStyle name="Normal 31 2 6 6" xfId="1801"/>
    <cellStyle name="Normal 31 2 6 6 2" xfId="5661"/>
    <cellStyle name="Normal 31 2 6 6 3" xfId="10595"/>
    <cellStyle name="Normal 31 2 6 7" xfId="3028"/>
    <cellStyle name="Normal 31 2 6 7 2" xfId="6885"/>
    <cellStyle name="Normal 31 2 6 7 3" xfId="11801"/>
    <cellStyle name="Normal 31 2 6 8" xfId="4437"/>
    <cellStyle name="Normal 31 2 6 8 2" xfId="9353"/>
    <cellStyle name="Normal 31 2 6 9" xfId="8110"/>
    <cellStyle name="Normal 31 2 7" xfId="691"/>
    <cellStyle name="Normal 31 2 7 2" xfId="1041"/>
    <cellStyle name="Normal 31 2 7 2 2" xfId="1655"/>
    <cellStyle name="Normal 31 2 7 2 2 2" xfId="2881"/>
    <cellStyle name="Normal 31 2 7 2 2 2 2" xfId="6741"/>
    <cellStyle name="Normal 31 2 7 2 2 2 3" xfId="11693"/>
    <cellStyle name="Normal 31 2 7 2 2 3" xfId="4109"/>
    <cellStyle name="Normal 31 2 7 2 2 3 2" xfId="7965"/>
    <cellStyle name="Normal 31 2 7 2 2 3 3" xfId="10451"/>
    <cellStyle name="Normal 31 2 7 2 2 4" xfId="5517"/>
    <cellStyle name="Normal 31 2 7 2 2 5" xfId="9209"/>
    <cellStyle name="Normal 31 2 7 2 3" xfId="2269"/>
    <cellStyle name="Normal 31 2 7 2 3 2" xfId="6129"/>
    <cellStyle name="Normal 31 2 7 2 3 3" xfId="11045"/>
    <cellStyle name="Normal 31 2 7 2 4" xfId="3497"/>
    <cellStyle name="Normal 31 2 7 2 4 2" xfId="7353"/>
    <cellStyle name="Normal 31 2 7 2 4 3" xfId="9803"/>
    <cellStyle name="Normal 31 2 7 2 5" xfId="4905"/>
    <cellStyle name="Normal 31 2 7 2 6" xfId="8560"/>
    <cellStyle name="Normal 31 2 7 3" xfId="1349"/>
    <cellStyle name="Normal 31 2 7 3 2" xfId="2575"/>
    <cellStyle name="Normal 31 2 7 3 2 2" xfId="6435"/>
    <cellStyle name="Normal 31 2 7 3 2 3" xfId="11387"/>
    <cellStyle name="Normal 31 2 7 3 3" xfId="3803"/>
    <cellStyle name="Normal 31 2 7 3 3 2" xfId="7659"/>
    <cellStyle name="Normal 31 2 7 3 3 3" xfId="10145"/>
    <cellStyle name="Normal 31 2 7 3 4" xfId="5211"/>
    <cellStyle name="Normal 31 2 7 3 5" xfId="8903"/>
    <cellStyle name="Normal 31 2 7 4" xfId="1963"/>
    <cellStyle name="Normal 31 2 7 4 2" xfId="5823"/>
    <cellStyle name="Normal 31 2 7 4 3" xfId="10757"/>
    <cellStyle name="Normal 31 2 7 5" xfId="3190"/>
    <cellStyle name="Normal 31 2 7 5 2" xfId="7047"/>
    <cellStyle name="Normal 31 2 7 5 3" xfId="11963"/>
    <cellStyle name="Normal 31 2 7 6" xfId="4599"/>
    <cellStyle name="Normal 31 2 7 6 2" xfId="9515"/>
    <cellStyle name="Normal 31 2 7 7" xfId="8272"/>
    <cellStyle name="Normal 31 2 8" xfId="601"/>
    <cellStyle name="Normal 31 2 8 2" xfId="951"/>
    <cellStyle name="Normal 31 2 8 2 2" xfId="1565"/>
    <cellStyle name="Normal 31 2 8 2 2 2" xfId="2791"/>
    <cellStyle name="Normal 31 2 8 2 2 2 2" xfId="6651"/>
    <cellStyle name="Normal 31 2 8 2 2 2 3" xfId="11603"/>
    <cellStyle name="Normal 31 2 8 2 2 3" xfId="4019"/>
    <cellStyle name="Normal 31 2 8 2 2 3 2" xfId="7875"/>
    <cellStyle name="Normal 31 2 8 2 2 3 3" xfId="10361"/>
    <cellStyle name="Normal 31 2 8 2 2 4" xfId="5427"/>
    <cellStyle name="Normal 31 2 8 2 2 5" xfId="9119"/>
    <cellStyle name="Normal 31 2 8 2 3" xfId="2179"/>
    <cellStyle name="Normal 31 2 8 2 3 2" xfId="6039"/>
    <cellStyle name="Normal 31 2 8 2 3 3" xfId="10955"/>
    <cellStyle name="Normal 31 2 8 2 4" xfId="3407"/>
    <cellStyle name="Normal 31 2 8 2 4 2" xfId="7263"/>
    <cellStyle name="Normal 31 2 8 2 4 3" xfId="9713"/>
    <cellStyle name="Normal 31 2 8 2 5" xfId="4815"/>
    <cellStyle name="Normal 31 2 8 2 6" xfId="8470"/>
    <cellStyle name="Normal 31 2 8 3" xfId="1259"/>
    <cellStyle name="Normal 31 2 8 3 2" xfId="2485"/>
    <cellStyle name="Normal 31 2 8 3 2 2" xfId="6345"/>
    <cellStyle name="Normal 31 2 8 3 2 3" xfId="11297"/>
    <cellStyle name="Normal 31 2 8 3 3" xfId="3713"/>
    <cellStyle name="Normal 31 2 8 3 3 2" xfId="7569"/>
    <cellStyle name="Normal 31 2 8 3 3 3" xfId="10055"/>
    <cellStyle name="Normal 31 2 8 3 4" xfId="5121"/>
    <cellStyle name="Normal 31 2 8 3 5" xfId="8813"/>
    <cellStyle name="Normal 31 2 8 4" xfId="1873"/>
    <cellStyle name="Normal 31 2 8 4 2" xfId="5733"/>
    <cellStyle name="Normal 31 2 8 4 3" xfId="10667"/>
    <cellStyle name="Normal 31 2 8 5" xfId="3100"/>
    <cellStyle name="Normal 31 2 8 5 2" xfId="6957"/>
    <cellStyle name="Normal 31 2 8 5 3" xfId="11873"/>
    <cellStyle name="Normal 31 2 8 6" xfId="4509"/>
    <cellStyle name="Normal 31 2 8 6 2" xfId="9425"/>
    <cellStyle name="Normal 31 2 8 7" xfId="8182"/>
    <cellStyle name="Normal 31 2 9" xfId="487"/>
    <cellStyle name="Normal 31 2 9 2" xfId="837"/>
    <cellStyle name="Normal 31 2 9 2 2" xfId="1475"/>
    <cellStyle name="Normal 31 2 9 2 2 2" xfId="2701"/>
    <cellStyle name="Normal 31 2 9 2 2 2 2" xfId="6561"/>
    <cellStyle name="Normal 31 2 9 2 2 2 3" xfId="11513"/>
    <cellStyle name="Normal 31 2 9 2 2 3" xfId="3929"/>
    <cellStyle name="Normal 31 2 9 2 2 3 2" xfId="7785"/>
    <cellStyle name="Normal 31 2 9 2 2 3 3" xfId="10271"/>
    <cellStyle name="Normal 31 2 9 2 2 4" xfId="5337"/>
    <cellStyle name="Normal 31 2 9 2 2 5" xfId="9029"/>
    <cellStyle name="Normal 31 2 9 2 3" xfId="2089"/>
    <cellStyle name="Normal 31 2 9 2 3 2" xfId="5949"/>
    <cellStyle name="Normal 31 2 9 2 3 3" xfId="10865"/>
    <cellStyle name="Normal 31 2 9 2 4" xfId="3317"/>
    <cellStyle name="Normal 31 2 9 2 4 2" xfId="7173"/>
    <cellStyle name="Normal 31 2 9 2 4 3" xfId="9623"/>
    <cellStyle name="Normal 31 2 9 2 5" xfId="4725"/>
    <cellStyle name="Normal 31 2 9 2 6" xfId="8380"/>
    <cellStyle name="Normal 31 2 9 3" xfId="1169"/>
    <cellStyle name="Normal 31 2 9 3 2" xfId="2395"/>
    <cellStyle name="Normal 31 2 9 3 2 2" xfId="6255"/>
    <cellStyle name="Normal 31 2 9 3 2 3" xfId="11207"/>
    <cellStyle name="Normal 31 2 9 3 3" xfId="3623"/>
    <cellStyle name="Normal 31 2 9 3 3 2" xfId="7479"/>
    <cellStyle name="Normal 31 2 9 3 3 3" xfId="9965"/>
    <cellStyle name="Normal 31 2 9 3 4" xfId="5031"/>
    <cellStyle name="Normal 31 2 9 3 5" xfId="8723"/>
    <cellStyle name="Normal 31 2 9 4" xfId="1783"/>
    <cellStyle name="Normal 31 2 9 4 2" xfId="5643"/>
    <cellStyle name="Normal 31 2 9 4 3" xfId="10577"/>
    <cellStyle name="Normal 31 2 9 5" xfId="3010"/>
    <cellStyle name="Normal 31 2 9 5 2" xfId="6867"/>
    <cellStyle name="Normal 31 2 9 5 3" xfId="12053"/>
    <cellStyle name="Normal 31 2 9 6" xfId="4419"/>
    <cellStyle name="Normal 31 2 9 6 2" xfId="9335"/>
    <cellStyle name="Normal 31 2 9 7" xfId="8092"/>
    <cellStyle name="Normal 31 3" xfId="452"/>
    <cellStyle name="Normal 31 3 10" xfId="1137"/>
    <cellStyle name="Normal 31 3 10 2" xfId="2363"/>
    <cellStyle name="Normal 31 3 10 2 2" xfId="6223"/>
    <cellStyle name="Normal 31 3 10 2 3" xfId="11175"/>
    <cellStyle name="Normal 31 3 10 3" xfId="3591"/>
    <cellStyle name="Normal 31 3 10 3 2" xfId="7447"/>
    <cellStyle name="Normal 31 3 10 3 3" xfId="9933"/>
    <cellStyle name="Normal 31 3 10 4" xfId="4999"/>
    <cellStyle name="Normal 31 3 10 5" xfId="8691"/>
    <cellStyle name="Normal 31 3 11" xfId="1751"/>
    <cellStyle name="Normal 31 3 11 2" xfId="5611"/>
    <cellStyle name="Normal 31 3 11 3" xfId="10545"/>
    <cellStyle name="Normal 31 3 12" xfId="2978"/>
    <cellStyle name="Normal 31 3 12 2" xfId="6835"/>
    <cellStyle name="Normal 31 3 12 3" xfId="11787"/>
    <cellStyle name="Normal 31 3 13" xfId="4387"/>
    <cellStyle name="Normal 31 3 13 2" xfId="9303"/>
    <cellStyle name="Normal 31 3 14" xfId="8060"/>
    <cellStyle name="Normal 31 3 2" xfId="453"/>
    <cellStyle name="Normal 31 3 2 10" xfId="1752"/>
    <cellStyle name="Normal 31 3 2 10 2" xfId="5612"/>
    <cellStyle name="Normal 31 3 2 10 3" xfId="10546"/>
    <cellStyle name="Normal 31 3 2 11" xfId="2979"/>
    <cellStyle name="Normal 31 3 2 11 2" xfId="6836"/>
    <cellStyle name="Normal 31 3 2 11 3" xfId="11788"/>
    <cellStyle name="Normal 31 3 2 12" xfId="4388"/>
    <cellStyle name="Normal 31 3 2 12 2" xfId="9304"/>
    <cellStyle name="Normal 31 3 2 13" xfId="8061"/>
    <cellStyle name="Normal 31 3 2 2" xfId="474"/>
    <cellStyle name="Normal 31 3 2 2 10" xfId="4406"/>
    <cellStyle name="Normal 31 3 2 2 10 2" xfId="9322"/>
    <cellStyle name="Normal 31 3 2 2 11" xfId="8079"/>
    <cellStyle name="Normal 31 3 2 2 2" xfId="587"/>
    <cellStyle name="Normal 31 3 2 2 2 2" xfId="768"/>
    <cellStyle name="Normal 31 3 2 2 2 2 2" xfId="1118"/>
    <cellStyle name="Normal 31 3 2 2 2 2 2 2" xfId="1732"/>
    <cellStyle name="Normal 31 3 2 2 2 2 2 2 2" xfId="2958"/>
    <cellStyle name="Normal 31 3 2 2 2 2 2 2 2 2" xfId="6818"/>
    <cellStyle name="Normal 31 3 2 2 2 2 2 2 2 3" xfId="11770"/>
    <cellStyle name="Normal 31 3 2 2 2 2 2 2 3" xfId="4186"/>
    <cellStyle name="Normal 31 3 2 2 2 2 2 2 3 2" xfId="8042"/>
    <cellStyle name="Normal 31 3 2 2 2 2 2 2 3 3" xfId="10528"/>
    <cellStyle name="Normal 31 3 2 2 2 2 2 2 4" xfId="5594"/>
    <cellStyle name="Normal 31 3 2 2 2 2 2 2 5" xfId="9286"/>
    <cellStyle name="Normal 31 3 2 2 2 2 2 3" xfId="2346"/>
    <cellStyle name="Normal 31 3 2 2 2 2 2 3 2" xfId="6206"/>
    <cellStyle name="Normal 31 3 2 2 2 2 2 3 3" xfId="11122"/>
    <cellStyle name="Normal 31 3 2 2 2 2 2 4" xfId="3574"/>
    <cellStyle name="Normal 31 3 2 2 2 2 2 4 2" xfId="7430"/>
    <cellStyle name="Normal 31 3 2 2 2 2 2 4 3" xfId="9880"/>
    <cellStyle name="Normal 31 3 2 2 2 2 2 5" xfId="4982"/>
    <cellStyle name="Normal 31 3 2 2 2 2 2 6" xfId="8637"/>
    <cellStyle name="Normal 31 3 2 2 2 2 3" xfId="1426"/>
    <cellStyle name="Normal 31 3 2 2 2 2 3 2" xfId="2652"/>
    <cellStyle name="Normal 31 3 2 2 2 2 3 2 2" xfId="6512"/>
    <cellStyle name="Normal 31 3 2 2 2 2 3 2 3" xfId="11464"/>
    <cellStyle name="Normal 31 3 2 2 2 2 3 3" xfId="3880"/>
    <cellStyle name="Normal 31 3 2 2 2 2 3 3 2" xfId="7736"/>
    <cellStyle name="Normal 31 3 2 2 2 2 3 3 3" xfId="10222"/>
    <cellStyle name="Normal 31 3 2 2 2 2 3 4" xfId="5288"/>
    <cellStyle name="Normal 31 3 2 2 2 2 3 5" xfId="8980"/>
    <cellStyle name="Normal 31 3 2 2 2 2 4" xfId="2040"/>
    <cellStyle name="Normal 31 3 2 2 2 2 4 2" xfId="5900"/>
    <cellStyle name="Normal 31 3 2 2 2 2 4 3" xfId="10834"/>
    <cellStyle name="Normal 31 3 2 2 2 2 5" xfId="3267"/>
    <cellStyle name="Normal 31 3 2 2 2 2 5 2" xfId="7124"/>
    <cellStyle name="Normal 31 3 2 2 2 2 5 3" xfId="12040"/>
    <cellStyle name="Normal 31 3 2 2 2 2 6" xfId="4676"/>
    <cellStyle name="Normal 31 3 2 2 2 2 6 2" xfId="9592"/>
    <cellStyle name="Normal 31 3 2 2 2 2 7" xfId="8349"/>
    <cellStyle name="Normal 31 3 2 2 2 3" xfId="678"/>
    <cellStyle name="Normal 31 3 2 2 2 3 2" xfId="1028"/>
    <cellStyle name="Normal 31 3 2 2 2 3 2 2" xfId="1642"/>
    <cellStyle name="Normal 31 3 2 2 2 3 2 2 2" xfId="2868"/>
    <cellStyle name="Normal 31 3 2 2 2 3 2 2 2 2" xfId="6728"/>
    <cellStyle name="Normal 31 3 2 2 2 3 2 2 2 3" xfId="11680"/>
    <cellStyle name="Normal 31 3 2 2 2 3 2 2 3" xfId="4096"/>
    <cellStyle name="Normal 31 3 2 2 2 3 2 2 3 2" xfId="7952"/>
    <cellStyle name="Normal 31 3 2 2 2 3 2 2 3 3" xfId="10438"/>
    <cellStyle name="Normal 31 3 2 2 2 3 2 2 4" xfId="5504"/>
    <cellStyle name="Normal 31 3 2 2 2 3 2 2 5" xfId="9196"/>
    <cellStyle name="Normal 31 3 2 2 2 3 2 3" xfId="2256"/>
    <cellStyle name="Normal 31 3 2 2 2 3 2 3 2" xfId="6116"/>
    <cellStyle name="Normal 31 3 2 2 2 3 2 3 3" xfId="11032"/>
    <cellStyle name="Normal 31 3 2 2 2 3 2 4" xfId="3484"/>
    <cellStyle name="Normal 31 3 2 2 2 3 2 4 2" xfId="7340"/>
    <cellStyle name="Normal 31 3 2 2 2 3 2 4 3" xfId="9790"/>
    <cellStyle name="Normal 31 3 2 2 2 3 2 5" xfId="4892"/>
    <cellStyle name="Normal 31 3 2 2 2 3 2 6" xfId="8547"/>
    <cellStyle name="Normal 31 3 2 2 2 3 3" xfId="1336"/>
    <cellStyle name="Normal 31 3 2 2 2 3 3 2" xfId="2562"/>
    <cellStyle name="Normal 31 3 2 2 2 3 3 2 2" xfId="6422"/>
    <cellStyle name="Normal 31 3 2 2 2 3 3 2 3" xfId="11374"/>
    <cellStyle name="Normal 31 3 2 2 2 3 3 3" xfId="3790"/>
    <cellStyle name="Normal 31 3 2 2 2 3 3 3 2" xfId="7646"/>
    <cellStyle name="Normal 31 3 2 2 2 3 3 3 3" xfId="10132"/>
    <cellStyle name="Normal 31 3 2 2 2 3 3 4" xfId="5198"/>
    <cellStyle name="Normal 31 3 2 2 2 3 3 5" xfId="8890"/>
    <cellStyle name="Normal 31 3 2 2 2 3 4" xfId="1950"/>
    <cellStyle name="Normal 31 3 2 2 2 3 4 2" xfId="5810"/>
    <cellStyle name="Normal 31 3 2 2 2 3 4 3" xfId="10744"/>
    <cellStyle name="Normal 31 3 2 2 2 3 5" xfId="3177"/>
    <cellStyle name="Normal 31 3 2 2 2 3 5 2" xfId="7034"/>
    <cellStyle name="Normal 31 3 2 2 2 3 5 3" xfId="11950"/>
    <cellStyle name="Normal 31 3 2 2 2 3 6" xfId="4586"/>
    <cellStyle name="Normal 31 3 2 2 2 3 6 2" xfId="9502"/>
    <cellStyle name="Normal 31 3 2 2 2 3 7" xfId="8259"/>
    <cellStyle name="Normal 31 3 2 2 2 4" xfId="937"/>
    <cellStyle name="Normal 31 3 2 2 2 4 2" xfId="1552"/>
    <cellStyle name="Normal 31 3 2 2 2 4 2 2" xfId="2778"/>
    <cellStyle name="Normal 31 3 2 2 2 4 2 2 2" xfId="6638"/>
    <cellStyle name="Normal 31 3 2 2 2 4 2 2 3" xfId="11590"/>
    <cellStyle name="Normal 31 3 2 2 2 4 2 3" xfId="4006"/>
    <cellStyle name="Normal 31 3 2 2 2 4 2 3 2" xfId="7862"/>
    <cellStyle name="Normal 31 3 2 2 2 4 2 3 3" xfId="10348"/>
    <cellStyle name="Normal 31 3 2 2 2 4 2 4" xfId="5414"/>
    <cellStyle name="Normal 31 3 2 2 2 4 2 5" xfId="9106"/>
    <cellStyle name="Normal 31 3 2 2 2 4 3" xfId="2166"/>
    <cellStyle name="Normal 31 3 2 2 2 4 3 2" xfId="6026"/>
    <cellStyle name="Normal 31 3 2 2 2 4 3 3" xfId="10942"/>
    <cellStyle name="Normal 31 3 2 2 2 4 4" xfId="3394"/>
    <cellStyle name="Normal 31 3 2 2 2 4 4 2" xfId="7250"/>
    <cellStyle name="Normal 31 3 2 2 2 4 4 3" xfId="9700"/>
    <cellStyle name="Normal 31 3 2 2 2 4 5" xfId="4802"/>
    <cellStyle name="Normal 31 3 2 2 2 4 6" xfId="8457"/>
    <cellStyle name="Normal 31 3 2 2 2 5" xfId="1246"/>
    <cellStyle name="Normal 31 3 2 2 2 5 2" xfId="2472"/>
    <cellStyle name="Normal 31 3 2 2 2 5 2 2" xfId="6332"/>
    <cellStyle name="Normal 31 3 2 2 2 5 2 3" xfId="11284"/>
    <cellStyle name="Normal 31 3 2 2 2 5 3" xfId="3700"/>
    <cellStyle name="Normal 31 3 2 2 2 5 3 2" xfId="7556"/>
    <cellStyle name="Normal 31 3 2 2 2 5 3 3" xfId="10042"/>
    <cellStyle name="Normal 31 3 2 2 2 5 4" xfId="5108"/>
    <cellStyle name="Normal 31 3 2 2 2 5 5" xfId="8800"/>
    <cellStyle name="Normal 31 3 2 2 2 6" xfId="1860"/>
    <cellStyle name="Normal 31 3 2 2 2 6 2" xfId="5720"/>
    <cellStyle name="Normal 31 3 2 2 2 6 3" xfId="10654"/>
    <cellStyle name="Normal 31 3 2 2 2 7" xfId="3087"/>
    <cellStyle name="Normal 31 3 2 2 2 7 2" xfId="6944"/>
    <cellStyle name="Normal 31 3 2 2 2 7 3" xfId="11860"/>
    <cellStyle name="Normal 31 3 2 2 2 8" xfId="4496"/>
    <cellStyle name="Normal 31 3 2 2 2 8 2" xfId="9412"/>
    <cellStyle name="Normal 31 3 2 2 2 9" xfId="8169"/>
    <cellStyle name="Normal 31 3 2 2 3" xfId="732"/>
    <cellStyle name="Normal 31 3 2 2 3 2" xfId="1082"/>
    <cellStyle name="Normal 31 3 2 2 3 2 2" xfId="1696"/>
    <cellStyle name="Normal 31 3 2 2 3 2 2 2" xfId="2922"/>
    <cellStyle name="Normal 31 3 2 2 3 2 2 2 2" xfId="6782"/>
    <cellStyle name="Normal 31 3 2 2 3 2 2 2 3" xfId="11734"/>
    <cellStyle name="Normal 31 3 2 2 3 2 2 3" xfId="4150"/>
    <cellStyle name="Normal 31 3 2 2 3 2 2 3 2" xfId="8006"/>
    <cellStyle name="Normal 31 3 2 2 3 2 2 3 3" xfId="10492"/>
    <cellStyle name="Normal 31 3 2 2 3 2 2 4" xfId="5558"/>
    <cellStyle name="Normal 31 3 2 2 3 2 2 5" xfId="9250"/>
    <cellStyle name="Normal 31 3 2 2 3 2 3" xfId="2310"/>
    <cellStyle name="Normal 31 3 2 2 3 2 3 2" xfId="6170"/>
    <cellStyle name="Normal 31 3 2 2 3 2 3 3" xfId="11086"/>
    <cellStyle name="Normal 31 3 2 2 3 2 4" xfId="3538"/>
    <cellStyle name="Normal 31 3 2 2 3 2 4 2" xfId="7394"/>
    <cellStyle name="Normal 31 3 2 2 3 2 4 3" xfId="9844"/>
    <cellStyle name="Normal 31 3 2 2 3 2 5" xfId="4946"/>
    <cellStyle name="Normal 31 3 2 2 3 2 6" xfId="8601"/>
    <cellStyle name="Normal 31 3 2 2 3 3" xfId="1390"/>
    <cellStyle name="Normal 31 3 2 2 3 3 2" xfId="2616"/>
    <cellStyle name="Normal 31 3 2 2 3 3 2 2" xfId="6476"/>
    <cellStyle name="Normal 31 3 2 2 3 3 2 3" xfId="11428"/>
    <cellStyle name="Normal 31 3 2 2 3 3 3" xfId="3844"/>
    <cellStyle name="Normal 31 3 2 2 3 3 3 2" xfId="7700"/>
    <cellStyle name="Normal 31 3 2 2 3 3 3 3" xfId="10186"/>
    <cellStyle name="Normal 31 3 2 2 3 3 4" xfId="5252"/>
    <cellStyle name="Normal 31 3 2 2 3 3 5" xfId="8944"/>
    <cellStyle name="Normal 31 3 2 2 3 4" xfId="2004"/>
    <cellStyle name="Normal 31 3 2 2 3 4 2" xfId="5864"/>
    <cellStyle name="Normal 31 3 2 2 3 4 3" xfId="10798"/>
    <cellStyle name="Normal 31 3 2 2 3 5" xfId="3231"/>
    <cellStyle name="Normal 31 3 2 2 3 5 2" xfId="7088"/>
    <cellStyle name="Normal 31 3 2 2 3 5 3" xfId="12004"/>
    <cellStyle name="Normal 31 3 2 2 3 6" xfId="4640"/>
    <cellStyle name="Normal 31 3 2 2 3 6 2" xfId="9556"/>
    <cellStyle name="Normal 31 3 2 2 3 7" xfId="8313"/>
    <cellStyle name="Normal 31 3 2 2 4" xfId="642"/>
    <cellStyle name="Normal 31 3 2 2 4 2" xfId="992"/>
    <cellStyle name="Normal 31 3 2 2 4 2 2" xfId="1606"/>
    <cellStyle name="Normal 31 3 2 2 4 2 2 2" xfId="2832"/>
    <cellStyle name="Normal 31 3 2 2 4 2 2 2 2" xfId="6692"/>
    <cellStyle name="Normal 31 3 2 2 4 2 2 2 3" xfId="11644"/>
    <cellStyle name="Normal 31 3 2 2 4 2 2 3" xfId="4060"/>
    <cellStyle name="Normal 31 3 2 2 4 2 2 3 2" xfId="7916"/>
    <cellStyle name="Normal 31 3 2 2 4 2 2 3 3" xfId="10402"/>
    <cellStyle name="Normal 31 3 2 2 4 2 2 4" xfId="5468"/>
    <cellStyle name="Normal 31 3 2 2 4 2 2 5" xfId="9160"/>
    <cellStyle name="Normal 31 3 2 2 4 2 3" xfId="2220"/>
    <cellStyle name="Normal 31 3 2 2 4 2 3 2" xfId="6080"/>
    <cellStyle name="Normal 31 3 2 2 4 2 3 3" xfId="10996"/>
    <cellStyle name="Normal 31 3 2 2 4 2 4" xfId="3448"/>
    <cellStyle name="Normal 31 3 2 2 4 2 4 2" xfId="7304"/>
    <cellStyle name="Normal 31 3 2 2 4 2 4 3" xfId="9754"/>
    <cellStyle name="Normal 31 3 2 2 4 2 5" xfId="4856"/>
    <cellStyle name="Normal 31 3 2 2 4 2 6" xfId="8511"/>
    <cellStyle name="Normal 31 3 2 2 4 3" xfId="1300"/>
    <cellStyle name="Normal 31 3 2 2 4 3 2" xfId="2526"/>
    <cellStyle name="Normal 31 3 2 2 4 3 2 2" xfId="6386"/>
    <cellStyle name="Normal 31 3 2 2 4 3 2 3" xfId="11338"/>
    <cellStyle name="Normal 31 3 2 2 4 3 3" xfId="3754"/>
    <cellStyle name="Normal 31 3 2 2 4 3 3 2" xfId="7610"/>
    <cellStyle name="Normal 31 3 2 2 4 3 3 3" xfId="10096"/>
    <cellStyle name="Normal 31 3 2 2 4 3 4" xfId="5162"/>
    <cellStyle name="Normal 31 3 2 2 4 3 5" xfId="8854"/>
    <cellStyle name="Normal 31 3 2 2 4 4" xfId="1914"/>
    <cellStyle name="Normal 31 3 2 2 4 4 2" xfId="5774"/>
    <cellStyle name="Normal 31 3 2 2 4 4 3" xfId="10708"/>
    <cellStyle name="Normal 31 3 2 2 4 5" xfId="3141"/>
    <cellStyle name="Normal 31 3 2 2 4 5 2" xfId="6998"/>
    <cellStyle name="Normal 31 3 2 2 4 5 3" xfId="11914"/>
    <cellStyle name="Normal 31 3 2 2 4 6" xfId="4550"/>
    <cellStyle name="Normal 31 3 2 2 4 6 2" xfId="9466"/>
    <cellStyle name="Normal 31 3 2 2 4 7" xfId="8223"/>
    <cellStyle name="Normal 31 3 2 2 5" xfId="548"/>
    <cellStyle name="Normal 31 3 2 2 5 2" xfId="898"/>
    <cellStyle name="Normal 31 3 2 2 5 2 2" xfId="1516"/>
    <cellStyle name="Normal 31 3 2 2 5 2 2 2" xfId="2742"/>
    <cellStyle name="Normal 31 3 2 2 5 2 2 2 2" xfId="6602"/>
    <cellStyle name="Normal 31 3 2 2 5 2 2 2 3" xfId="11554"/>
    <cellStyle name="Normal 31 3 2 2 5 2 2 3" xfId="3970"/>
    <cellStyle name="Normal 31 3 2 2 5 2 2 3 2" xfId="7826"/>
    <cellStyle name="Normal 31 3 2 2 5 2 2 3 3" xfId="10312"/>
    <cellStyle name="Normal 31 3 2 2 5 2 2 4" xfId="5378"/>
    <cellStyle name="Normal 31 3 2 2 5 2 2 5" xfId="9070"/>
    <cellStyle name="Normal 31 3 2 2 5 2 3" xfId="2130"/>
    <cellStyle name="Normal 31 3 2 2 5 2 3 2" xfId="5990"/>
    <cellStyle name="Normal 31 3 2 2 5 2 3 3" xfId="11158"/>
    <cellStyle name="Normal 31 3 2 2 5 2 4" xfId="3358"/>
    <cellStyle name="Normal 31 3 2 2 5 2 4 2" xfId="7214"/>
    <cellStyle name="Normal 31 3 2 2 5 2 4 3" xfId="9916"/>
    <cellStyle name="Normal 31 3 2 2 5 2 5" xfId="4766"/>
    <cellStyle name="Normal 31 3 2 2 5 2 6" xfId="8674"/>
    <cellStyle name="Normal 31 3 2 2 5 3" xfId="1210"/>
    <cellStyle name="Normal 31 3 2 2 5 3 2" xfId="2436"/>
    <cellStyle name="Normal 31 3 2 2 5 3 2 2" xfId="6296"/>
    <cellStyle name="Normal 31 3 2 2 5 3 2 3" xfId="11248"/>
    <cellStyle name="Normal 31 3 2 2 5 3 3" xfId="3664"/>
    <cellStyle name="Normal 31 3 2 2 5 3 3 2" xfId="7520"/>
    <cellStyle name="Normal 31 3 2 2 5 3 3 3" xfId="10006"/>
    <cellStyle name="Normal 31 3 2 2 5 3 4" xfId="5072"/>
    <cellStyle name="Normal 31 3 2 2 5 3 5" xfId="8764"/>
    <cellStyle name="Normal 31 3 2 2 5 4" xfId="1824"/>
    <cellStyle name="Normal 31 3 2 2 5 4 2" xfId="5684"/>
    <cellStyle name="Normal 31 3 2 2 5 4 2 2" xfId="11140"/>
    <cellStyle name="Normal 31 3 2 2 5 4 3" xfId="9898"/>
    <cellStyle name="Normal 31 3 2 2 5 4 4" xfId="8655"/>
    <cellStyle name="Normal 31 3 2 2 5 5" xfId="3051"/>
    <cellStyle name="Normal 31 3 2 2 5 5 2" xfId="6908"/>
    <cellStyle name="Normal 31 3 2 2 5 5 3" xfId="10618"/>
    <cellStyle name="Normal 31 3 2 2 5 6" xfId="4460"/>
    <cellStyle name="Normal 31 3 2 2 5 6 2" xfId="9376"/>
    <cellStyle name="Normal 31 3 2 2 5 7" xfId="8133"/>
    <cellStyle name="Normal 31 3 2 2 6" xfId="824"/>
    <cellStyle name="Normal 31 3 2 2 6 2" xfId="1462"/>
    <cellStyle name="Normal 31 3 2 2 6 2 2" xfId="2688"/>
    <cellStyle name="Normal 31 3 2 2 6 2 2 2" xfId="6548"/>
    <cellStyle name="Normal 31 3 2 2 6 2 2 3" xfId="11500"/>
    <cellStyle name="Normal 31 3 2 2 6 2 3" xfId="3916"/>
    <cellStyle name="Normal 31 3 2 2 6 2 3 2" xfId="7772"/>
    <cellStyle name="Normal 31 3 2 2 6 2 3 3" xfId="10258"/>
    <cellStyle name="Normal 31 3 2 2 6 2 4" xfId="5324"/>
    <cellStyle name="Normal 31 3 2 2 6 2 5" xfId="9016"/>
    <cellStyle name="Normal 31 3 2 2 6 3" xfId="2076"/>
    <cellStyle name="Normal 31 3 2 2 6 3 2" xfId="5936"/>
    <cellStyle name="Normal 31 3 2 2 6 3 3" xfId="10906"/>
    <cellStyle name="Normal 31 3 2 2 6 4" xfId="3304"/>
    <cellStyle name="Normal 31 3 2 2 6 4 2" xfId="7160"/>
    <cellStyle name="Normal 31 3 2 2 6 4 3" xfId="9664"/>
    <cellStyle name="Normal 31 3 2 2 6 5" xfId="4712"/>
    <cellStyle name="Normal 31 3 2 2 6 6" xfId="8421"/>
    <cellStyle name="Normal 31 3 2 2 7" xfId="1156"/>
    <cellStyle name="Normal 31 3 2 2 7 2" xfId="2382"/>
    <cellStyle name="Normal 31 3 2 2 7 2 2" xfId="6242"/>
    <cellStyle name="Normal 31 3 2 2 7 2 3" xfId="11194"/>
    <cellStyle name="Normal 31 3 2 2 7 3" xfId="3610"/>
    <cellStyle name="Normal 31 3 2 2 7 3 2" xfId="7466"/>
    <cellStyle name="Normal 31 3 2 2 7 3 3" xfId="9952"/>
    <cellStyle name="Normal 31 3 2 2 7 4" xfId="5018"/>
    <cellStyle name="Normal 31 3 2 2 7 5" xfId="8710"/>
    <cellStyle name="Normal 31 3 2 2 8" xfId="1770"/>
    <cellStyle name="Normal 31 3 2 2 8 2" xfId="5630"/>
    <cellStyle name="Normal 31 3 2 2 8 3" xfId="10564"/>
    <cellStyle name="Normal 31 3 2 2 9" xfId="2997"/>
    <cellStyle name="Normal 31 3 2 2 9 2" xfId="6854"/>
    <cellStyle name="Normal 31 3 2 2 9 3" xfId="11824"/>
    <cellStyle name="Normal 31 3 2 3" xfId="569"/>
    <cellStyle name="Normal 31 3 2 3 2" xfId="750"/>
    <cellStyle name="Normal 31 3 2 3 2 2" xfId="1100"/>
    <cellStyle name="Normal 31 3 2 3 2 2 2" xfId="1714"/>
    <cellStyle name="Normal 31 3 2 3 2 2 2 2" xfId="2940"/>
    <cellStyle name="Normal 31 3 2 3 2 2 2 2 2" xfId="6800"/>
    <cellStyle name="Normal 31 3 2 3 2 2 2 2 3" xfId="11752"/>
    <cellStyle name="Normal 31 3 2 3 2 2 2 3" xfId="4168"/>
    <cellStyle name="Normal 31 3 2 3 2 2 2 3 2" xfId="8024"/>
    <cellStyle name="Normal 31 3 2 3 2 2 2 3 3" xfId="10510"/>
    <cellStyle name="Normal 31 3 2 3 2 2 2 4" xfId="5576"/>
    <cellStyle name="Normal 31 3 2 3 2 2 2 5" xfId="9268"/>
    <cellStyle name="Normal 31 3 2 3 2 2 3" xfId="2328"/>
    <cellStyle name="Normal 31 3 2 3 2 2 3 2" xfId="6188"/>
    <cellStyle name="Normal 31 3 2 3 2 2 3 3" xfId="11104"/>
    <cellStyle name="Normal 31 3 2 3 2 2 4" xfId="3556"/>
    <cellStyle name="Normal 31 3 2 3 2 2 4 2" xfId="7412"/>
    <cellStyle name="Normal 31 3 2 3 2 2 4 3" xfId="9862"/>
    <cellStyle name="Normal 31 3 2 3 2 2 5" xfId="4964"/>
    <cellStyle name="Normal 31 3 2 3 2 2 6" xfId="8619"/>
    <cellStyle name="Normal 31 3 2 3 2 3" xfId="1408"/>
    <cellStyle name="Normal 31 3 2 3 2 3 2" xfId="2634"/>
    <cellStyle name="Normal 31 3 2 3 2 3 2 2" xfId="6494"/>
    <cellStyle name="Normal 31 3 2 3 2 3 2 3" xfId="11446"/>
    <cellStyle name="Normal 31 3 2 3 2 3 3" xfId="3862"/>
    <cellStyle name="Normal 31 3 2 3 2 3 3 2" xfId="7718"/>
    <cellStyle name="Normal 31 3 2 3 2 3 3 3" xfId="10204"/>
    <cellStyle name="Normal 31 3 2 3 2 3 4" xfId="5270"/>
    <cellStyle name="Normal 31 3 2 3 2 3 5" xfId="8962"/>
    <cellStyle name="Normal 31 3 2 3 2 4" xfId="2022"/>
    <cellStyle name="Normal 31 3 2 3 2 4 2" xfId="5882"/>
    <cellStyle name="Normal 31 3 2 3 2 4 3" xfId="10816"/>
    <cellStyle name="Normal 31 3 2 3 2 5" xfId="3249"/>
    <cellStyle name="Normal 31 3 2 3 2 5 2" xfId="7106"/>
    <cellStyle name="Normal 31 3 2 3 2 5 3" xfId="12022"/>
    <cellStyle name="Normal 31 3 2 3 2 6" xfId="4658"/>
    <cellStyle name="Normal 31 3 2 3 2 6 2" xfId="9574"/>
    <cellStyle name="Normal 31 3 2 3 2 7" xfId="8331"/>
    <cellStyle name="Normal 31 3 2 3 3" xfId="660"/>
    <cellStyle name="Normal 31 3 2 3 3 2" xfId="1010"/>
    <cellStyle name="Normal 31 3 2 3 3 2 2" xfId="1624"/>
    <cellStyle name="Normal 31 3 2 3 3 2 2 2" xfId="2850"/>
    <cellStyle name="Normal 31 3 2 3 3 2 2 2 2" xfId="6710"/>
    <cellStyle name="Normal 31 3 2 3 3 2 2 2 3" xfId="11662"/>
    <cellStyle name="Normal 31 3 2 3 3 2 2 3" xfId="4078"/>
    <cellStyle name="Normal 31 3 2 3 3 2 2 3 2" xfId="7934"/>
    <cellStyle name="Normal 31 3 2 3 3 2 2 3 3" xfId="10420"/>
    <cellStyle name="Normal 31 3 2 3 3 2 2 4" xfId="5486"/>
    <cellStyle name="Normal 31 3 2 3 3 2 2 5" xfId="9178"/>
    <cellStyle name="Normal 31 3 2 3 3 2 3" xfId="2238"/>
    <cellStyle name="Normal 31 3 2 3 3 2 3 2" xfId="6098"/>
    <cellStyle name="Normal 31 3 2 3 3 2 3 3" xfId="11014"/>
    <cellStyle name="Normal 31 3 2 3 3 2 4" xfId="3466"/>
    <cellStyle name="Normal 31 3 2 3 3 2 4 2" xfId="7322"/>
    <cellStyle name="Normal 31 3 2 3 3 2 4 3" xfId="9772"/>
    <cellStyle name="Normal 31 3 2 3 3 2 5" xfId="4874"/>
    <cellStyle name="Normal 31 3 2 3 3 2 6" xfId="8529"/>
    <cellStyle name="Normal 31 3 2 3 3 3" xfId="1318"/>
    <cellStyle name="Normal 31 3 2 3 3 3 2" xfId="2544"/>
    <cellStyle name="Normal 31 3 2 3 3 3 2 2" xfId="6404"/>
    <cellStyle name="Normal 31 3 2 3 3 3 2 3" xfId="11356"/>
    <cellStyle name="Normal 31 3 2 3 3 3 3" xfId="3772"/>
    <cellStyle name="Normal 31 3 2 3 3 3 3 2" xfId="7628"/>
    <cellStyle name="Normal 31 3 2 3 3 3 3 3" xfId="10114"/>
    <cellStyle name="Normal 31 3 2 3 3 3 4" xfId="5180"/>
    <cellStyle name="Normal 31 3 2 3 3 3 5" xfId="8872"/>
    <cellStyle name="Normal 31 3 2 3 3 4" xfId="1932"/>
    <cellStyle name="Normal 31 3 2 3 3 4 2" xfId="5792"/>
    <cellStyle name="Normal 31 3 2 3 3 4 3" xfId="10726"/>
    <cellStyle name="Normal 31 3 2 3 3 5" xfId="3159"/>
    <cellStyle name="Normal 31 3 2 3 3 5 2" xfId="7016"/>
    <cellStyle name="Normal 31 3 2 3 3 5 3" xfId="11932"/>
    <cellStyle name="Normal 31 3 2 3 3 6" xfId="4568"/>
    <cellStyle name="Normal 31 3 2 3 3 6 2" xfId="9484"/>
    <cellStyle name="Normal 31 3 2 3 3 7" xfId="8241"/>
    <cellStyle name="Normal 31 3 2 3 4" xfId="919"/>
    <cellStyle name="Normal 31 3 2 3 4 2" xfId="1534"/>
    <cellStyle name="Normal 31 3 2 3 4 2 2" xfId="2760"/>
    <cellStyle name="Normal 31 3 2 3 4 2 2 2" xfId="6620"/>
    <cellStyle name="Normal 31 3 2 3 4 2 2 3" xfId="11572"/>
    <cellStyle name="Normal 31 3 2 3 4 2 3" xfId="3988"/>
    <cellStyle name="Normal 31 3 2 3 4 2 3 2" xfId="7844"/>
    <cellStyle name="Normal 31 3 2 3 4 2 3 3" xfId="10330"/>
    <cellStyle name="Normal 31 3 2 3 4 2 4" xfId="5396"/>
    <cellStyle name="Normal 31 3 2 3 4 2 5" xfId="9088"/>
    <cellStyle name="Normal 31 3 2 3 4 3" xfId="2148"/>
    <cellStyle name="Normal 31 3 2 3 4 3 2" xfId="6008"/>
    <cellStyle name="Normal 31 3 2 3 4 3 3" xfId="10924"/>
    <cellStyle name="Normal 31 3 2 3 4 4" xfId="3376"/>
    <cellStyle name="Normal 31 3 2 3 4 4 2" xfId="7232"/>
    <cellStyle name="Normal 31 3 2 3 4 4 3" xfId="9682"/>
    <cellStyle name="Normal 31 3 2 3 4 5" xfId="4784"/>
    <cellStyle name="Normal 31 3 2 3 4 6" xfId="8439"/>
    <cellStyle name="Normal 31 3 2 3 5" xfId="1228"/>
    <cellStyle name="Normal 31 3 2 3 5 2" xfId="2454"/>
    <cellStyle name="Normal 31 3 2 3 5 2 2" xfId="6314"/>
    <cellStyle name="Normal 31 3 2 3 5 2 3" xfId="11266"/>
    <cellStyle name="Normal 31 3 2 3 5 3" xfId="3682"/>
    <cellStyle name="Normal 31 3 2 3 5 3 2" xfId="7538"/>
    <cellStyle name="Normal 31 3 2 3 5 3 3" xfId="10024"/>
    <cellStyle name="Normal 31 3 2 3 5 4" xfId="5090"/>
    <cellStyle name="Normal 31 3 2 3 5 5" xfId="8782"/>
    <cellStyle name="Normal 31 3 2 3 6" xfId="1842"/>
    <cellStyle name="Normal 31 3 2 3 6 2" xfId="5702"/>
    <cellStyle name="Normal 31 3 2 3 6 3" xfId="10636"/>
    <cellStyle name="Normal 31 3 2 3 7" xfId="3069"/>
    <cellStyle name="Normal 31 3 2 3 7 2" xfId="6926"/>
    <cellStyle name="Normal 31 3 2 3 7 3" xfId="11842"/>
    <cellStyle name="Normal 31 3 2 3 8" xfId="4478"/>
    <cellStyle name="Normal 31 3 2 3 8 2" xfId="9394"/>
    <cellStyle name="Normal 31 3 2 3 9" xfId="8151"/>
    <cellStyle name="Normal 31 3 2 4" xfId="512"/>
    <cellStyle name="Normal 31 3 2 4 2" xfId="714"/>
    <cellStyle name="Normal 31 3 2 4 2 2" xfId="1064"/>
    <cellStyle name="Normal 31 3 2 4 2 2 2" xfId="1678"/>
    <cellStyle name="Normal 31 3 2 4 2 2 2 2" xfId="2904"/>
    <cellStyle name="Normal 31 3 2 4 2 2 2 2 2" xfId="6764"/>
    <cellStyle name="Normal 31 3 2 4 2 2 2 2 3" xfId="11716"/>
    <cellStyle name="Normal 31 3 2 4 2 2 2 3" xfId="4132"/>
    <cellStyle name="Normal 31 3 2 4 2 2 2 3 2" xfId="7988"/>
    <cellStyle name="Normal 31 3 2 4 2 2 2 3 3" xfId="10474"/>
    <cellStyle name="Normal 31 3 2 4 2 2 2 4" xfId="5540"/>
    <cellStyle name="Normal 31 3 2 4 2 2 2 5" xfId="9232"/>
    <cellStyle name="Normal 31 3 2 4 2 2 3" xfId="2292"/>
    <cellStyle name="Normal 31 3 2 4 2 2 3 2" xfId="6152"/>
    <cellStyle name="Normal 31 3 2 4 2 2 3 3" xfId="11068"/>
    <cellStyle name="Normal 31 3 2 4 2 2 4" xfId="3520"/>
    <cellStyle name="Normal 31 3 2 4 2 2 4 2" xfId="7376"/>
    <cellStyle name="Normal 31 3 2 4 2 2 4 3" xfId="9826"/>
    <cellStyle name="Normal 31 3 2 4 2 2 5" xfId="4928"/>
    <cellStyle name="Normal 31 3 2 4 2 2 6" xfId="8583"/>
    <cellStyle name="Normal 31 3 2 4 2 3" xfId="1372"/>
    <cellStyle name="Normal 31 3 2 4 2 3 2" xfId="2598"/>
    <cellStyle name="Normal 31 3 2 4 2 3 2 2" xfId="6458"/>
    <cellStyle name="Normal 31 3 2 4 2 3 2 3" xfId="11410"/>
    <cellStyle name="Normal 31 3 2 4 2 3 3" xfId="3826"/>
    <cellStyle name="Normal 31 3 2 4 2 3 3 2" xfId="7682"/>
    <cellStyle name="Normal 31 3 2 4 2 3 3 3" xfId="10168"/>
    <cellStyle name="Normal 31 3 2 4 2 3 4" xfId="5234"/>
    <cellStyle name="Normal 31 3 2 4 2 3 5" xfId="8926"/>
    <cellStyle name="Normal 31 3 2 4 2 4" xfId="1986"/>
    <cellStyle name="Normal 31 3 2 4 2 4 2" xfId="5846"/>
    <cellStyle name="Normal 31 3 2 4 2 4 3" xfId="10780"/>
    <cellStyle name="Normal 31 3 2 4 2 5" xfId="3213"/>
    <cellStyle name="Normal 31 3 2 4 2 5 2" xfId="7070"/>
    <cellStyle name="Normal 31 3 2 4 2 5 3" xfId="11986"/>
    <cellStyle name="Normal 31 3 2 4 2 6" xfId="4622"/>
    <cellStyle name="Normal 31 3 2 4 2 6 2" xfId="9538"/>
    <cellStyle name="Normal 31 3 2 4 2 7" xfId="8295"/>
    <cellStyle name="Normal 31 3 2 4 3" xfId="624"/>
    <cellStyle name="Normal 31 3 2 4 3 2" xfId="974"/>
    <cellStyle name="Normal 31 3 2 4 3 2 2" xfId="1588"/>
    <cellStyle name="Normal 31 3 2 4 3 2 2 2" xfId="2814"/>
    <cellStyle name="Normal 31 3 2 4 3 2 2 2 2" xfId="6674"/>
    <cellStyle name="Normal 31 3 2 4 3 2 2 2 3" xfId="11626"/>
    <cellStyle name="Normal 31 3 2 4 3 2 2 3" xfId="4042"/>
    <cellStyle name="Normal 31 3 2 4 3 2 2 3 2" xfId="7898"/>
    <cellStyle name="Normal 31 3 2 4 3 2 2 3 3" xfId="10384"/>
    <cellStyle name="Normal 31 3 2 4 3 2 2 4" xfId="5450"/>
    <cellStyle name="Normal 31 3 2 4 3 2 2 5" xfId="9142"/>
    <cellStyle name="Normal 31 3 2 4 3 2 3" xfId="2202"/>
    <cellStyle name="Normal 31 3 2 4 3 2 3 2" xfId="6062"/>
    <cellStyle name="Normal 31 3 2 4 3 2 3 3" xfId="10978"/>
    <cellStyle name="Normal 31 3 2 4 3 2 4" xfId="3430"/>
    <cellStyle name="Normal 31 3 2 4 3 2 4 2" xfId="7286"/>
    <cellStyle name="Normal 31 3 2 4 3 2 4 3" xfId="9736"/>
    <cellStyle name="Normal 31 3 2 4 3 2 5" xfId="4838"/>
    <cellStyle name="Normal 31 3 2 4 3 2 6" xfId="8493"/>
    <cellStyle name="Normal 31 3 2 4 3 3" xfId="1282"/>
    <cellStyle name="Normal 31 3 2 4 3 3 2" xfId="2508"/>
    <cellStyle name="Normal 31 3 2 4 3 3 2 2" xfId="6368"/>
    <cellStyle name="Normal 31 3 2 4 3 3 2 3" xfId="11320"/>
    <cellStyle name="Normal 31 3 2 4 3 3 3" xfId="3736"/>
    <cellStyle name="Normal 31 3 2 4 3 3 3 2" xfId="7592"/>
    <cellStyle name="Normal 31 3 2 4 3 3 3 3" xfId="10078"/>
    <cellStyle name="Normal 31 3 2 4 3 3 4" xfId="5144"/>
    <cellStyle name="Normal 31 3 2 4 3 3 5" xfId="8836"/>
    <cellStyle name="Normal 31 3 2 4 3 4" xfId="1896"/>
    <cellStyle name="Normal 31 3 2 4 3 4 2" xfId="5756"/>
    <cellStyle name="Normal 31 3 2 4 3 4 3" xfId="10690"/>
    <cellStyle name="Normal 31 3 2 4 3 5" xfId="3123"/>
    <cellStyle name="Normal 31 3 2 4 3 5 2" xfId="6980"/>
    <cellStyle name="Normal 31 3 2 4 3 5 3" xfId="11896"/>
    <cellStyle name="Normal 31 3 2 4 3 6" xfId="4532"/>
    <cellStyle name="Normal 31 3 2 4 3 6 2" xfId="9448"/>
    <cellStyle name="Normal 31 3 2 4 3 7" xfId="8205"/>
    <cellStyle name="Normal 31 3 2 4 4" xfId="862"/>
    <cellStyle name="Normal 31 3 2 4 4 2" xfId="1498"/>
    <cellStyle name="Normal 31 3 2 4 4 2 2" xfId="2724"/>
    <cellStyle name="Normal 31 3 2 4 4 2 2 2" xfId="6584"/>
    <cellStyle name="Normal 31 3 2 4 4 2 2 3" xfId="11536"/>
    <cellStyle name="Normal 31 3 2 4 4 2 3" xfId="3952"/>
    <cellStyle name="Normal 31 3 2 4 4 2 3 2" xfId="7808"/>
    <cellStyle name="Normal 31 3 2 4 4 2 3 3" xfId="10294"/>
    <cellStyle name="Normal 31 3 2 4 4 2 4" xfId="5360"/>
    <cellStyle name="Normal 31 3 2 4 4 2 5" xfId="9052"/>
    <cellStyle name="Normal 31 3 2 4 4 3" xfId="2112"/>
    <cellStyle name="Normal 31 3 2 4 4 3 2" xfId="5972"/>
    <cellStyle name="Normal 31 3 2 4 4 3 3" xfId="10888"/>
    <cellStyle name="Normal 31 3 2 4 4 4" xfId="3340"/>
    <cellStyle name="Normal 31 3 2 4 4 4 2" xfId="7196"/>
    <cellStyle name="Normal 31 3 2 4 4 4 3" xfId="9646"/>
    <cellStyle name="Normal 31 3 2 4 4 5" xfId="4748"/>
    <cellStyle name="Normal 31 3 2 4 4 6" xfId="8403"/>
    <cellStyle name="Normal 31 3 2 4 5" xfId="1192"/>
    <cellStyle name="Normal 31 3 2 4 5 2" xfId="2418"/>
    <cellStyle name="Normal 31 3 2 4 5 2 2" xfId="6278"/>
    <cellStyle name="Normal 31 3 2 4 5 2 3" xfId="11230"/>
    <cellStyle name="Normal 31 3 2 4 5 3" xfId="3646"/>
    <cellStyle name="Normal 31 3 2 4 5 3 2" xfId="7502"/>
    <cellStyle name="Normal 31 3 2 4 5 3 3" xfId="9988"/>
    <cellStyle name="Normal 31 3 2 4 5 4" xfId="5054"/>
    <cellStyle name="Normal 31 3 2 4 5 5" xfId="8746"/>
    <cellStyle name="Normal 31 3 2 4 6" xfId="1806"/>
    <cellStyle name="Normal 31 3 2 4 6 2" xfId="5666"/>
    <cellStyle name="Normal 31 3 2 4 6 3" xfId="10600"/>
    <cellStyle name="Normal 31 3 2 4 7" xfId="3033"/>
    <cellStyle name="Normal 31 3 2 4 7 2" xfId="6890"/>
    <cellStyle name="Normal 31 3 2 4 7 3" xfId="11806"/>
    <cellStyle name="Normal 31 3 2 4 8" xfId="4442"/>
    <cellStyle name="Normal 31 3 2 4 8 2" xfId="9358"/>
    <cellStyle name="Normal 31 3 2 4 9" xfId="8115"/>
    <cellStyle name="Normal 31 3 2 5" xfId="696"/>
    <cellStyle name="Normal 31 3 2 5 2" xfId="1046"/>
    <cellStyle name="Normal 31 3 2 5 2 2" xfId="1660"/>
    <cellStyle name="Normal 31 3 2 5 2 2 2" xfId="2886"/>
    <cellStyle name="Normal 31 3 2 5 2 2 2 2" xfId="6746"/>
    <cellStyle name="Normal 31 3 2 5 2 2 2 3" xfId="11698"/>
    <cellStyle name="Normal 31 3 2 5 2 2 3" xfId="4114"/>
    <cellStyle name="Normal 31 3 2 5 2 2 3 2" xfId="7970"/>
    <cellStyle name="Normal 31 3 2 5 2 2 3 3" xfId="10456"/>
    <cellStyle name="Normal 31 3 2 5 2 2 4" xfId="5522"/>
    <cellStyle name="Normal 31 3 2 5 2 2 5" xfId="9214"/>
    <cellStyle name="Normal 31 3 2 5 2 3" xfId="2274"/>
    <cellStyle name="Normal 31 3 2 5 2 3 2" xfId="6134"/>
    <cellStyle name="Normal 31 3 2 5 2 3 3" xfId="11050"/>
    <cellStyle name="Normal 31 3 2 5 2 4" xfId="3502"/>
    <cellStyle name="Normal 31 3 2 5 2 4 2" xfId="7358"/>
    <cellStyle name="Normal 31 3 2 5 2 4 3" xfId="9808"/>
    <cellStyle name="Normal 31 3 2 5 2 5" xfId="4910"/>
    <cellStyle name="Normal 31 3 2 5 2 6" xfId="8565"/>
    <cellStyle name="Normal 31 3 2 5 3" xfId="1354"/>
    <cellStyle name="Normal 31 3 2 5 3 2" xfId="2580"/>
    <cellStyle name="Normal 31 3 2 5 3 2 2" xfId="6440"/>
    <cellStyle name="Normal 31 3 2 5 3 2 3" xfId="11392"/>
    <cellStyle name="Normal 31 3 2 5 3 3" xfId="3808"/>
    <cellStyle name="Normal 31 3 2 5 3 3 2" xfId="7664"/>
    <cellStyle name="Normal 31 3 2 5 3 3 3" xfId="10150"/>
    <cellStyle name="Normal 31 3 2 5 3 4" xfId="5216"/>
    <cellStyle name="Normal 31 3 2 5 3 5" xfId="8908"/>
    <cellStyle name="Normal 31 3 2 5 4" xfId="1968"/>
    <cellStyle name="Normal 31 3 2 5 4 2" xfId="5828"/>
    <cellStyle name="Normal 31 3 2 5 4 3" xfId="10762"/>
    <cellStyle name="Normal 31 3 2 5 5" xfId="3195"/>
    <cellStyle name="Normal 31 3 2 5 5 2" xfId="7052"/>
    <cellStyle name="Normal 31 3 2 5 5 3" xfId="11968"/>
    <cellStyle name="Normal 31 3 2 5 6" xfId="4604"/>
    <cellStyle name="Normal 31 3 2 5 6 2" xfId="9520"/>
    <cellStyle name="Normal 31 3 2 5 7" xfId="8277"/>
    <cellStyle name="Normal 31 3 2 6" xfId="606"/>
    <cellStyle name="Normal 31 3 2 6 2" xfId="956"/>
    <cellStyle name="Normal 31 3 2 6 2 2" xfId="1570"/>
    <cellStyle name="Normal 31 3 2 6 2 2 2" xfId="2796"/>
    <cellStyle name="Normal 31 3 2 6 2 2 2 2" xfId="6656"/>
    <cellStyle name="Normal 31 3 2 6 2 2 2 3" xfId="11608"/>
    <cellStyle name="Normal 31 3 2 6 2 2 3" xfId="4024"/>
    <cellStyle name="Normal 31 3 2 6 2 2 3 2" xfId="7880"/>
    <cellStyle name="Normal 31 3 2 6 2 2 3 3" xfId="10366"/>
    <cellStyle name="Normal 31 3 2 6 2 2 4" xfId="5432"/>
    <cellStyle name="Normal 31 3 2 6 2 2 5" xfId="9124"/>
    <cellStyle name="Normal 31 3 2 6 2 3" xfId="2184"/>
    <cellStyle name="Normal 31 3 2 6 2 3 2" xfId="6044"/>
    <cellStyle name="Normal 31 3 2 6 2 3 3" xfId="10960"/>
    <cellStyle name="Normal 31 3 2 6 2 4" xfId="3412"/>
    <cellStyle name="Normal 31 3 2 6 2 4 2" xfId="7268"/>
    <cellStyle name="Normal 31 3 2 6 2 4 3" xfId="9718"/>
    <cellStyle name="Normal 31 3 2 6 2 5" xfId="4820"/>
    <cellStyle name="Normal 31 3 2 6 2 6" xfId="8475"/>
    <cellStyle name="Normal 31 3 2 6 3" xfId="1264"/>
    <cellStyle name="Normal 31 3 2 6 3 2" xfId="2490"/>
    <cellStyle name="Normal 31 3 2 6 3 2 2" xfId="6350"/>
    <cellStyle name="Normal 31 3 2 6 3 2 3" xfId="11302"/>
    <cellStyle name="Normal 31 3 2 6 3 3" xfId="3718"/>
    <cellStyle name="Normal 31 3 2 6 3 3 2" xfId="7574"/>
    <cellStyle name="Normal 31 3 2 6 3 3 3" xfId="10060"/>
    <cellStyle name="Normal 31 3 2 6 3 4" xfId="5126"/>
    <cellStyle name="Normal 31 3 2 6 3 5" xfId="8818"/>
    <cellStyle name="Normal 31 3 2 6 4" xfId="1878"/>
    <cellStyle name="Normal 31 3 2 6 4 2" xfId="5738"/>
    <cellStyle name="Normal 31 3 2 6 4 3" xfId="10672"/>
    <cellStyle name="Normal 31 3 2 6 5" xfId="3105"/>
    <cellStyle name="Normal 31 3 2 6 5 2" xfId="6962"/>
    <cellStyle name="Normal 31 3 2 6 5 3" xfId="11878"/>
    <cellStyle name="Normal 31 3 2 6 6" xfId="4514"/>
    <cellStyle name="Normal 31 3 2 6 6 2" xfId="9430"/>
    <cellStyle name="Normal 31 3 2 6 7" xfId="8187"/>
    <cellStyle name="Normal 31 3 2 7" xfId="492"/>
    <cellStyle name="Normal 31 3 2 7 2" xfId="842"/>
    <cellStyle name="Normal 31 3 2 7 2 2" xfId="1480"/>
    <cellStyle name="Normal 31 3 2 7 2 2 2" xfId="2706"/>
    <cellStyle name="Normal 31 3 2 7 2 2 2 2" xfId="6566"/>
    <cellStyle name="Normal 31 3 2 7 2 2 2 3" xfId="11518"/>
    <cellStyle name="Normal 31 3 2 7 2 2 3" xfId="3934"/>
    <cellStyle name="Normal 31 3 2 7 2 2 3 2" xfId="7790"/>
    <cellStyle name="Normal 31 3 2 7 2 2 3 3" xfId="10276"/>
    <cellStyle name="Normal 31 3 2 7 2 2 4" xfId="5342"/>
    <cellStyle name="Normal 31 3 2 7 2 2 5" xfId="9034"/>
    <cellStyle name="Normal 31 3 2 7 2 3" xfId="2094"/>
    <cellStyle name="Normal 31 3 2 7 2 3 2" xfId="5954"/>
    <cellStyle name="Normal 31 3 2 7 2 3 3" xfId="10870"/>
    <cellStyle name="Normal 31 3 2 7 2 4" xfId="3322"/>
    <cellStyle name="Normal 31 3 2 7 2 4 2" xfId="7178"/>
    <cellStyle name="Normal 31 3 2 7 2 4 3" xfId="9628"/>
    <cellStyle name="Normal 31 3 2 7 2 5" xfId="4730"/>
    <cellStyle name="Normal 31 3 2 7 2 6" xfId="8385"/>
    <cellStyle name="Normal 31 3 2 7 3" xfId="1174"/>
    <cellStyle name="Normal 31 3 2 7 3 2" xfId="2400"/>
    <cellStyle name="Normal 31 3 2 7 3 2 2" xfId="6260"/>
    <cellStyle name="Normal 31 3 2 7 3 2 3" xfId="11212"/>
    <cellStyle name="Normal 31 3 2 7 3 3" xfId="3628"/>
    <cellStyle name="Normal 31 3 2 7 3 3 2" xfId="7484"/>
    <cellStyle name="Normal 31 3 2 7 3 3 3" xfId="9970"/>
    <cellStyle name="Normal 31 3 2 7 3 4" xfId="5036"/>
    <cellStyle name="Normal 31 3 2 7 3 5" xfId="8728"/>
    <cellStyle name="Normal 31 3 2 7 4" xfId="1788"/>
    <cellStyle name="Normal 31 3 2 7 4 2" xfId="5648"/>
    <cellStyle name="Normal 31 3 2 7 4 3" xfId="10582"/>
    <cellStyle name="Normal 31 3 2 7 5" xfId="3015"/>
    <cellStyle name="Normal 31 3 2 7 5 2" xfId="6872"/>
    <cellStyle name="Normal 31 3 2 7 5 3" xfId="12058"/>
    <cellStyle name="Normal 31 3 2 7 6" xfId="4424"/>
    <cellStyle name="Normal 31 3 2 7 6 2" xfId="9340"/>
    <cellStyle name="Normal 31 3 2 7 7" xfId="8097"/>
    <cellStyle name="Normal 31 3 2 8" xfId="804"/>
    <cellStyle name="Normal 31 3 2 8 2" xfId="1444"/>
    <cellStyle name="Normal 31 3 2 8 2 2" xfId="2670"/>
    <cellStyle name="Normal 31 3 2 8 2 2 2" xfId="6530"/>
    <cellStyle name="Normal 31 3 2 8 2 2 3" xfId="11482"/>
    <cellStyle name="Normal 31 3 2 8 2 3" xfId="3898"/>
    <cellStyle name="Normal 31 3 2 8 2 3 2" xfId="7754"/>
    <cellStyle name="Normal 31 3 2 8 2 3 3" xfId="10240"/>
    <cellStyle name="Normal 31 3 2 8 2 4" xfId="5306"/>
    <cellStyle name="Normal 31 3 2 8 2 5" xfId="8998"/>
    <cellStyle name="Normal 31 3 2 8 3" xfId="2058"/>
    <cellStyle name="Normal 31 3 2 8 3 2" xfId="5918"/>
    <cellStyle name="Normal 31 3 2 8 3 3" xfId="10852"/>
    <cellStyle name="Normal 31 3 2 8 4" xfId="3286"/>
    <cellStyle name="Normal 31 3 2 8 4 2" xfId="7142"/>
    <cellStyle name="Normal 31 3 2 8 4 3" xfId="9610"/>
    <cellStyle name="Normal 31 3 2 8 5" xfId="4694"/>
    <cellStyle name="Normal 31 3 2 8 6" xfId="8367"/>
    <cellStyle name="Normal 31 3 2 9" xfId="1138"/>
    <cellStyle name="Normal 31 3 2 9 2" xfId="2364"/>
    <cellStyle name="Normal 31 3 2 9 2 2" xfId="6224"/>
    <cellStyle name="Normal 31 3 2 9 2 3" xfId="11176"/>
    <cellStyle name="Normal 31 3 2 9 3" xfId="3592"/>
    <cellStyle name="Normal 31 3 2 9 3 2" xfId="7448"/>
    <cellStyle name="Normal 31 3 2 9 3 3" xfId="9934"/>
    <cellStyle name="Normal 31 3 2 9 4" xfId="5000"/>
    <cellStyle name="Normal 31 3 2 9 5" xfId="8692"/>
    <cellStyle name="Normal 31 3 3" xfId="473"/>
    <cellStyle name="Normal 31 3 3 10" xfId="4405"/>
    <cellStyle name="Normal 31 3 3 10 2" xfId="9321"/>
    <cellStyle name="Normal 31 3 3 11" xfId="8078"/>
    <cellStyle name="Normal 31 3 3 2" xfId="586"/>
    <cellStyle name="Normal 31 3 3 2 2" xfId="767"/>
    <cellStyle name="Normal 31 3 3 2 2 2" xfId="1117"/>
    <cellStyle name="Normal 31 3 3 2 2 2 2" xfId="1731"/>
    <cellStyle name="Normal 31 3 3 2 2 2 2 2" xfId="2957"/>
    <cellStyle name="Normal 31 3 3 2 2 2 2 2 2" xfId="6817"/>
    <cellStyle name="Normal 31 3 3 2 2 2 2 2 3" xfId="11769"/>
    <cellStyle name="Normal 31 3 3 2 2 2 2 3" xfId="4185"/>
    <cellStyle name="Normal 31 3 3 2 2 2 2 3 2" xfId="8041"/>
    <cellStyle name="Normal 31 3 3 2 2 2 2 3 3" xfId="10527"/>
    <cellStyle name="Normal 31 3 3 2 2 2 2 4" xfId="5593"/>
    <cellStyle name="Normal 31 3 3 2 2 2 2 5" xfId="9285"/>
    <cellStyle name="Normal 31 3 3 2 2 2 3" xfId="2345"/>
    <cellStyle name="Normal 31 3 3 2 2 2 3 2" xfId="6205"/>
    <cellStyle name="Normal 31 3 3 2 2 2 3 3" xfId="11121"/>
    <cellStyle name="Normal 31 3 3 2 2 2 4" xfId="3573"/>
    <cellStyle name="Normal 31 3 3 2 2 2 4 2" xfId="7429"/>
    <cellStyle name="Normal 31 3 3 2 2 2 4 3" xfId="9879"/>
    <cellStyle name="Normal 31 3 3 2 2 2 5" xfId="4981"/>
    <cellStyle name="Normal 31 3 3 2 2 2 6" xfId="8636"/>
    <cellStyle name="Normal 31 3 3 2 2 3" xfId="1425"/>
    <cellStyle name="Normal 31 3 3 2 2 3 2" xfId="2651"/>
    <cellStyle name="Normal 31 3 3 2 2 3 2 2" xfId="6511"/>
    <cellStyle name="Normal 31 3 3 2 2 3 2 3" xfId="11463"/>
    <cellStyle name="Normal 31 3 3 2 2 3 3" xfId="3879"/>
    <cellStyle name="Normal 31 3 3 2 2 3 3 2" xfId="7735"/>
    <cellStyle name="Normal 31 3 3 2 2 3 3 3" xfId="10221"/>
    <cellStyle name="Normal 31 3 3 2 2 3 4" xfId="5287"/>
    <cellStyle name="Normal 31 3 3 2 2 3 5" xfId="8979"/>
    <cellStyle name="Normal 31 3 3 2 2 4" xfId="2039"/>
    <cellStyle name="Normal 31 3 3 2 2 4 2" xfId="5899"/>
    <cellStyle name="Normal 31 3 3 2 2 4 3" xfId="10833"/>
    <cellStyle name="Normal 31 3 3 2 2 5" xfId="3266"/>
    <cellStyle name="Normal 31 3 3 2 2 5 2" xfId="7123"/>
    <cellStyle name="Normal 31 3 3 2 2 5 3" xfId="12039"/>
    <cellStyle name="Normal 31 3 3 2 2 6" xfId="4675"/>
    <cellStyle name="Normal 31 3 3 2 2 6 2" xfId="9591"/>
    <cellStyle name="Normal 31 3 3 2 2 7" xfId="8348"/>
    <cellStyle name="Normal 31 3 3 2 3" xfId="677"/>
    <cellStyle name="Normal 31 3 3 2 3 2" xfId="1027"/>
    <cellStyle name="Normal 31 3 3 2 3 2 2" xfId="1641"/>
    <cellStyle name="Normal 31 3 3 2 3 2 2 2" xfId="2867"/>
    <cellStyle name="Normal 31 3 3 2 3 2 2 2 2" xfId="6727"/>
    <cellStyle name="Normal 31 3 3 2 3 2 2 2 3" xfId="11679"/>
    <cellStyle name="Normal 31 3 3 2 3 2 2 3" xfId="4095"/>
    <cellStyle name="Normal 31 3 3 2 3 2 2 3 2" xfId="7951"/>
    <cellStyle name="Normal 31 3 3 2 3 2 2 3 3" xfId="10437"/>
    <cellStyle name="Normal 31 3 3 2 3 2 2 4" xfId="5503"/>
    <cellStyle name="Normal 31 3 3 2 3 2 2 5" xfId="9195"/>
    <cellStyle name="Normal 31 3 3 2 3 2 3" xfId="2255"/>
    <cellStyle name="Normal 31 3 3 2 3 2 3 2" xfId="6115"/>
    <cellStyle name="Normal 31 3 3 2 3 2 3 3" xfId="11031"/>
    <cellStyle name="Normal 31 3 3 2 3 2 4" xfId="3483"/>
    <cellStyle name="Normal 31 3 3 2 3 2 4 2" xfId="7339"/>
    <cellStyle name="Normal 31 3 3 2 3 2 4 3" xfId="9789"/>
    <cellStyle name="Normal 31 3 3 2 3 2 5" xfId="4891"/>
    <cellStyle name="Normal 31 3 3 2 3 2 6" xfId="8546"/>
    <cellStyle name="Normal 31 3 3 2 3 3" xfId="1335"/>
    <cellStyle name="Normal 31 3 3 2 3 3 2" xfId="2561"/>
    <cellStyle name="Normal 31 3 3 2 3 3 2 2" xfId="6421"/>
    <cellStyle name="Normal 31 3 3 2 3 3 2 3" xfId="11373"/>
    <cellStyle name="Normal 31 3 3 2 3 3 3" xfId="3789"/>
    <cellStyle name="Normal 31 3 3 2 3 3 3 2" xfId="7645"/>
    <cellStyle name="Normal 31 3 3 2 3 3 3 3" xfId="10131"/>
    <cellStyle name="Normal 31 3 3 2 3 3 4" xfId="5197"/>
    <cellStyle name="Normal 31 3 3 2 3 3 5" xfId="8889"/>
    <cellStyle name="Normal 31 3 3 2 3 4" xfId="1949"/>
    <cellStyle name="Normal 31 3 3 2 3 4 2" xfId="5809"/>
    <cellStyle name="Normal 31 3 3 2 3 4 3" xfId="10743"/>
    <cellStyle name="Normal 31 3 3 2 3 5" xfId="3176"/>
    <cellStyle name="Normal 31 3 3 2 3 5 2" xfId="7033"/>
    <cellStyle name="Normal 31 3 3 2 3 5 3" xfId="11949"/>
    <cellStyle name="Normal 31 3 3 2 3 6" xfId="4585"/>
    <cellStyle name="Normal 31 3 3 2 3 6 2" xfId="9501"/>
    <cellStyle name="Normal 31 3 3 2 3 7" xfId="8258"/>
    <cellStyle name="Normal 31 3 3 2 4" xfId="936"/>
    <cellStyle name="Normal 31 3 3 2 4 2" xfId="1551"/>
    <cellStyle name="Normal 31 3 3 2 4 2 2" xfId="2777"/>
    <cellStyle name="Normal 31 3 3 2 4 2 2 2" xfId="6637"/>
    <cellStyle name="Normal 31 3 3 2 4 2 2 3" xfId="11589"/>
    <cellStyle name="Normal 31 3 3 2 4 2 3" xfId="4005"/>
    <cellStyle name="Normal 31 3 3 2 4 2 3 2" xfId="7861"/>
    <cellStyle name="Normal 31 3 3 2 4 2 3 3" xfId="10347"/>
    <cellStyle name="Normal 31 3 3 2 4 2 4" xfId="5413"/>
    <cellStyle name="Normal 31 3 3 2 4 2 5" xfId="9105"/>
    <cellStyle name="Normal 31 3 3 2 4 3" xfId="2165"/>
    <cellStyle name="Normal 31 3 3 2 4 3 2" xfId="6025"/>
    <cellStyle name="Normal 31 3 3 2 4 3 3" xfId="10941"/>
    <cellStyle name="Normal 31 3 3 2 4 4" xfId="3393"/>
    <cellStyle name="Normal 31 3 3 2 4 4 2" xfId="7249"/>
    <cellStyle name="Normal 31 3 3 2 4 4 3" xfId="9699"/>
    <cellStyle name="Normal 31 3 3 2 4 5" xfId="4801"/>
    <cellStyle name="Normal 31 3 3 2 4 6" xfId="8456"/>
    <cellStyle name="Normal 31 3 3 2 5" xfId="1245"/>
    <cellStyle name="Normal 31 3 3 2 5 2" xfId="2471"/>
    <cellStyle name="Normal 31 3 3 2 5 2 2" xfId="6331"/>
    <cellStyle name="Normal 31 3 3 2 5 2 3" xfId="11283"/>
    <cellStyle name="Normal 31 3 3 2 5 3" xfId="3699"/>
    <cellStyle name="Normal 31 3 3 2 5 3 2" xfId="7555"/>
    <cellStyle name="Normal 31 3 3 2 5 3 3" xfId="10041"/>
    <cellStyle name="Normal 31 3 3 2 5 4" xfId="5107"/>
    <cellStyle name="Normal 31 3 3 2 5 5" xfId="8799"/>
    <cellStyle name="Normal 31 3 3 2 6" xfId="1859"/>
    <cellStyle name="Normal 31 3 3 2 6 2" xfId="5719"/>
    <cellStyle name="Normal 31 3 3 2 6 3" xfId="10653"/>
    <cellStyle name="Normal 31 3 3 2 7" xfId="3086"/>
    <cellStyle name="Normal 31 3 3 2 7 2" xfId="6943"/>
    <cellStyle name="Normal 31 3 3 2 7 3" xfId="11859"/>
    <cellStyle name="Normal 31 3 3 2 8" xfId="4495"/>
    <cellStyle name="Normal 31 3 3 2 8 2" xfId="9411"/>
    <cellStyle name="Normal 31 3 3 2 9" xfId="8168"/>
    <cellStyle name="Normal 31 3 3 3" xfId="731"/>
    <cellStyle name="Normal 31 3 3 3 2" xfId="1081"/>
    <cellStyle name="Normal 31 3 3 3 2 2" xfId="1695"/>
    <cellStyle name="Normal 31 3 3 3 2 2 2" xfId="2921"/>
    <cellStyle name="Normal 31 3 3 3 2 2 2 2" xfId="6781"/>
    <cellStyle name="Normal 31 3 3 3 2 2 2 3" xfId="11733"/>
    <cellStyle name="Normal 31 3 3 3 2 2 3" xfId="4149"/>
    <cellStyle name="Normal 31 3 3 3 2 2 3 2" xfId="8005"/>
    <cellStyle name="Normal 31 3 3 3 2 2 3 3" xfId="10491"/>
    <cellStyle name="Normal 31 3 3 3 2 2 4" xfId="5557"/>
    <cellStyle name="Normal 31 3 3 3 2 2 5" xfId="9249"/>
    <cellStyle name="Normal 31 3 3 3 2 3" xfId="2309"/>
    <cellStyle name="Normal 31 3 3 3 2 3 2" xfId="6169"/>
    <cellStyle name="Normal 31 3 3 3 2 3 3" xfId="11085"/>
    <cellStyle name="Normal 31 3 3 3 2 4" xfId="3537"/>
    <cellStyle name="Normal 31 3 3 3 2 4 2" xfId="7393"/>
    <cellStyle name="Normal 31 3 3 3 2 4 3" xfId="9843"/>
    <cellStyle name="Normal 31 3 3 3 2 5" xfId="4945"/>
    <cellStyle name="Normal 31 3 3 3 2 6" xfId="8600"/>
    <cellStyle name="Normal 31 3 3 3 3" xfId="1389"/>
    <cellStyle name="Normal 31 3 3 3 3 2" xfId="2615"/>
    <cellStyle name="Normal 31 3 3 3 3 2 2" xfId="6475"/>
    <cellStyle name="Normal 31 3 3 3 3 2 3" xfId="11427"/>
    <cellStyle name="Normal 31 3 3 3 3 3" xfId="3843"/>
    <cellStyle name="Normal 31 3 3 3 3 3 2" xfId="7699"/>
    <cellStyle name="Normal 31 3 3 3 3 3 3" xfId="10185"/>
    <cellStyle name="Normal 31 3 3 3 3 4" xfId="5251"/>
    <cellStyle name="Normal 31 3 3 3 3 5" xfId="8943"/>
    <cellStyle name="Normal 31 3 3 3 4" xfId="2003"/>
    <cellStyle name="Normal 31 3 3 3 4 2" xfId="5863"/>
    <cellStyle name="Normal 31 3 3 3 4 3" xfId="10797"/>
    <cellStyle name="Normal 31 3 3 3 5" xfId="3230"/>
    <cellStyle name="Normal 31 3 3 3 5 2" xfId="7087"/>
    <cellStyle name="Normal 31 3 3 3 5 3" xfId="12003"/>
    <cellStyle name="Normal 31 3 3 3 6" xfId="4639"/>
    <cellStyle name="Normal 31 3 3 3 6 2" xfId="9555"/>
    <cellStyle name="Normal 31 3 3 3 7" xfId="8312"/>
    <cellStyle name="Normal 31 3 3 4" xfId="641"/>
    <cellStyle name="Normal 31 3 3 4 2" xfId="991"/>
    <cellStyle name="Normal 31 3 3 4 2 2" xfId="1605"/>
    <cellStyle name="Normal 31 3 3 4 2 2 2" xfId="2831"/>
    <cellStyle name="Normal 31 3 3 4 2 2 2 2" xfId="6691"/>
    <cellStyle name="Normal 31 3 3 4 2 2 2 3" xfId="11643"/>
    <cellStyle name="Normal 31 3 3 4 2 2 3" xfId="4059"/>
    <cellStyle name="Normal 31 3 3 4 2 2 3 2" xfId="7915"/>
    <cellStyle name="Normal 31 3 3 4 2 2 3 3" xfId="10401"/>
    <cellStyle name="Normal 31 3 3 4 2 2 4" xfId="5467"/>
    <cellStyle name="Normal 31 3 3 4 2 2 5" xfId="9159"/>
    <cellStyle name="Normal 31 3 3 4 2 3" xfId="2219"/>
    <cellStyle name="Normal 31 3 3 4 2 3 2" xfId="6079"/>
    <cellStyle name="Normal 31 3 3 4 2 3 3" xfId="10995"/>
    <cellStyle name="Normal 31 3 3 4 2 4" xfId="3447"/>
    <cellStyle name="Normal 31 3 3 4 2 4 2" xfId="7303"/>
    <cellStyle name="Normal 31 3 3 4 2 4 3" xfId="9753"/>
    <cellStyle name="Normal 31 3 3 4 2 5" xfId="4855"/>
    <cellStyle name="Normal 31 3 3 4 2 6" xfId="8510"/>
    <cellStyle name="Normal 31 3 3 4 3" xfId="1299"/>
    <cellStyle name="Normal 31 3 3 4 3 2" xfId="2525"/>
    <cellStyle name="Normal 31 3 3 4 3 2 2" xfId="6385"/>
    <cellStyle name="Normal 31 3 3 4 3 2 3" xfId="11337"/>
    <cellStyle name="Normal 31 3 3 4 3 3" xfId="3753"/>
    <cellStyle name="Normal 31 3 3 4 3 3 2" xfId="7609"/>
    <cellStyle name="Normal 31 3 3 4 3 3 3" xfId="10095"/>
    <cellStyle name="Normal 31 3 3 4 3 4" xfId="5161"/>
    <cellStyle name="Normal 31 3 3 4 3 5" xfId="8853"/>
    <cellStyle name="Normal 31 3 3 4 4" xfId="1913"/>
    <cellStyle name="Normal 31 3 3 4 4 2" xfId="5773"/>
    <cellStyle name="Normal 31 3 3 4 4 3" xfId="10707"/>
    <cellStyle name="Normal 31 3 3 4 5" xfId="3140"/>
    <cellStyle name="Normal 31 3 3 4 5 2" xfId="6997"/>
    <cellStyle name="Normal 31 3 3 4 5 3" xfId="11913"/>
    <cellStyle name="Normal 31 3 3 4 6" xfId="4549"/>
    <cellStyle name="Normal 31 3 3 4 6 2" xfId="9465"/>
    <cellStyle name="Normal 31 3 3 4 7" xfId="8222"/>
    <cellStyle name="Normal 31 3 3 5" xfId="547"/>
    <cellStyle name="Normal 31 3 3 5 2" xfId="897"/>
    <cellStyle name="Normal 31 3 3 5 2 2" xfId="1515"/>
    <cellStyle name="Normal 31 3 3 5 2 2 2" xfId="2741"/>
    <cellStyle name="Normal 31 3 3 5 2 2 2 2" xfId="6601"/>
    <cellStyle name="Normal 31 3 3 5 2 2 2 3" xfId="11553"/>
    <cellStyle name="Normal 31 3 3 5 2 2 3" xfId="3969"/>
    <cellStyle name="Normal 31 3 3 5 2 2 3 2" xfId="7825"/>
    <cellStyle name="Normal 31 3 3 5 2 2 3 3" xfId="10311"/>
    <cellStyle name="Normal 31 3 3 5 2 2 4" xfId="5377"/>
    <cellStyle name="Normal 31 3 3 5 2 2 5" xfId="9069"/>
    <cellStyle name="Normal 31 3 3 5 2 3" xfId="2129"/>
    <cellStyle name="Normal 31 3 3 5 2 3 2" xfId="5989"/>
    <cellStyle name="Normal 31 3 3 5 2 3 3" xfId="11157"/>
    <cellStyle name="Normal 31 3 3 5 2 4" xfId="3357"/>
    <cellStyle name="Normal 31 3 3 5 2 4 2" xfId="7213"/>
    <cellStyle name="Normal 31 3 3 5 2 4 3" xfId="9915"/>
    <cellStyle name="Normal 31 3 3 5 2 5" xfId="4765"/>
    <cellStyle name="Normal 31 3 3 5 2 6" xfId="8673"/>
    <cellStyle name="Normal 31 3 3 5 3" xfId="1209"/>
    <cellStyle name="Normal 31 3 3 5 3 2" xfId="2435"/>
    <cellStyle name="Normal 31 3 3 5 3 2 2" xfId="6295"/>
    <cellStyle name="Normal 31 3 3 5 3 2 3" xfId="11247"/>
    <cellStyle name="Normal 31 3 3 5 3 3" xfId="3663"/>
    <cellStyle name="Normal 31 3 3 5 3 3 2" xfId="7519"/>
    <cellStyle name="Normal 31 3 3 5 3 3 3" xfId="10005"/>
    <cellStyle name="Normal 31 3 3 5 3 4" xfId="5071"/>
    <cellStyle name="Normal 31 3 3 5 3 5" xfId="8763"/>
    <cellStyle name="Normal 31 3 3 5 4" xfId="1823"/>
    <cellStyle name="Normal 31 3 3 5 4 2" xfId="5683"/>
    <cellStyle name="Normal 31 3 3 5 4 2 2" xfId="11139"/>
    <cellStyle name="Normal 31 3 3 5 4 3" xfId="9897"/>
    <cellStyle name="Normal 31 3 3 5 4 4" xfId="8654"/>
    <cellStyle name="Normal 31 3 3 5 5" xfId="3050"/>
    <cellStyle name="Normal 31 3 3 5 5 2" xfId="6907"/>
    <cellStyle name="Normal 31 3 3 5 5 3" xfId="10617"/>
    <cellStyle name="Normal 31 3 3 5 6" xfId="4459"/>
    <cellStyle name="Normal 31 3 3 5 6 2" xfId="9375"/>
    <cellStyle name="Normal 31 3 3 5 7" xfId="8132"/>
    <cellStyle name="Normal 31 3 3 6" xfId="823"/>
    <cellStyle name="Normal 31 3 3 6 2" xfId="1461"/>
    <cellStyle name="Normal 31 3 3 6 2 2" xfId="2687"/>
    <cellStyle name="Normal 31 3 3 6 2 2 2" xfId="6547"/>
    <cellStyle name="Normal 31 3 3 6 2 2 3" xfId="11499"/>
    <cellStyle name="Normal 31 3 3 6 2 3" xfId="3915"/>
    <cellStyle name="Normal 31 3 3 6 2 3 2" xfId="7771"/>
    <cellStyle name="Normal 31 3 3 6 2 3 3" xfId="10257"/>
    <cellStyle name="Normal 31 3 3 6 2 4" xfId="5323"/>
    <cellStyle name="Normal 31 3 3 6 2 5" xfId="9015"/>
    <cellStyle name="Normal 31 3 3 6 3" xfId="2075"/>
    <cellStyle name="Normal 31 3 3 6 3 2" xfId="5935"/>
    <cellStyle name="Normal 31 3 3 6 3 3" xfId="10905"/>
    <cellStyle name="Normal 31 3 3 6 4" xfId="3303"/>
    <cellStyle name="Normal 31 3 3 6 4 2" xfId="7159"/>
    <cellStyle name="Normal 31 3 3 6 4 3" xfId="9663"/>
    <cellStyle name="Normal 31 3 3 6 5" xfId="4711"/>
    <cellStyle name="Normal 31 3 3 6 6" xfId="8420"/>
    <cellStyle name="Normal 31 3 3 7" xfId="1155"/>
    <cellStyle name="Normal 31 3 3 7 2" xfId="2381"/>
    <cellStyle name="Normal 31 3 3 7 2 2" xfId="6241"/>
    <cellStyle name="Normal 31 3 3 7 2 3" xfId="11193"/>
    <cellStyle name="Normal 31 3 3 7 3" xfId="3609"/>
    <cellStyle name="Normal 31 3 3 7 3 2" xfId="7465"/>
    <cellStyle name="Normal 31 3 3 7 3 3" xfId="9951"/>
    <cellStyle name="Normal 31 3 3 7 4" xfId="5017"/>
    <cellStyle name="Normal 31 3 3 7 5" xfId="8709"/>
    <cellStyle name="Normal 31 3 3 8" xfId="1769"/>
    <cellStyle name="Normal 31 3 3 8 2" xfId="5629"/>
    <cellStyle name="Normal 31 3 3 8 3" xfId="10563"/>
    <cellStyle name="Normal 31 3 3 9" xfId="2996"/>
    <cellStyle name="Normal 31 3 3 9 2" xfId="6853"/>
    <cellStyle name="Normal 31 3 3 9 3" xfId="11823"/>
    <cellStyle name="Normal 31 3 4" xfId="568"/>
    <cellStyle name="Normal 31 3 4 2" xfId="749"/>
    <cellStyle name="Normal 31 3 4 2 2" xfId="1099"/>
    <cellStyle name="Normal 31 3 4 2 2 2" xfId="1713"/>
    <cellStyle name="Normal 31 3 4 2 2 2 2" xfId="2939"/>
    <cellStyle name="Normal 31 3 4 2 2 2 2 2" xfId="6799"/>
    <cellStyle name="Normal 31 3 4 2 2 2 2 3" xfId="11751"/>
    <cellStyle name="Normal 31 3 4 2 2 2 3" xfId="4167"/>
    <cellStyle name="Normal 31 3 4 2 2 2 3 2" xfId="8023"/>
    <cellStyle name="Normal 31 3 4 2 2 2 3 3" xfId="10509"/>
    <cellStyle name="Normal 31 3 4 2 2 2 4" xfId="5575"/>
    <cellStyle name="Normal 31 3 4 2 2 2 5" xfId="9267"/>
    <cellStyle name="Normal 31 3 4 2 2 3" xfId="2327"/>
    <cellStyle name="Normal 31 3 4 2 2 3 2" xfId="6187"/>
    <cellStyle name="Normal 31 3 4 2 2 3 3" xfId="11103"/>
    <cellStyle name="Normal 31 3 4 2 2 4" xfId="3555"/>
    <cellStyle name="Normal 31 3 4 2 2 4 2" xfId="7411"/>
    <cellStyle name="Normal 31 3 4 2 2 4 3" xfId="9861"/>
    <cellStyle name="Normal 31 3 4 2 2 5" xfId="4963"/>
    <cellStyle name="Normal 31 3 4 2 2 6" xfId="8618"/>
    <cellStyle name="Normal 31 3 4 2 3" xfId="1407"/>
    <cellStyle name="Normal 31 3 4 2 3 2" xfId="2633"/>
    <cellStyle name="Normal 31 3 4 2 3 2 2" xfId="6493"/>
    <cellStyle name="Normal 31 3 4 2 3 2 3" xfId="11445"/>
    <cellStyle name="Normal 31 3 4 2 3 3" xfId="3861"/>
    <cellStyle name="Normal 31 3 4 2 3 3 2" xfId="7717"/>
    <cellStyle name="Normal 31 3 4 2 3 3 3" xfId="10203"/>
    <cellStyle name="Normal 31 3 4 2 3 4" xfId="5269"/>
    <cellStyle name="Normal 31 3 4 2 3 5" xfId="8961"/>
    <cellStyle name="Normal 31 3 4 2 4" xfId="2021"/>
    <cellStyle name="Normal 31 3 4 2 4 2" xfId="5881"/>
    <cellStyle name="Normal 31 3 4 2 4 3" xfId="10815"/>
    <cellStyle name="Normal 31 3 4 2 5" xfId="3248"/>
    <cellStyle name="Normal 31 3 4 2 5 2" xfId="7105"/>
    <cellStyle name="Normal 31 3 4 2 5 3" xfId="12021"/>
    <cellStyle name="Normal 31 3 4 2 6" xfId="4657"/>
    <cellStyle name="Normal 31 3 4 2 6 2" xfId="9573"/>
    <cellStyle name="Normal 31 3 4 2 7" xfId="8330"/>
    <cellStyle name="Normal 31 3 4 3" xfId="659"/>
    <cellStyle name="Normal 31 3 4 3 2" xfId="1009"/>
    <cellStyle name="Normal 31 3 4 3 2 2" xfId="1623"/>
    <cellStyle name="Normal 31 3 4 3 2 2 2" xfId="2849"/>
    <cellStyle name="Normal 31 3 4 3 2 2 2 2" xfId="6709"/>
    <cellStyle name="Normal 31 3 4 3 2 2 2 3" xfId="11661"/>
    <cellStyle name="Normal 31 3 4 3 2 2 3" xfId="4077"/>
    <cellStyle name="Normal 31 3 4 3 2 2 3 2" xfId="7933"/>
    <cellStyle name="Normal 31 3 4 3 2 2 3 3" xfId="10419"/>
    <cellStyle name="Normal 31 3 4 3 2 2 4" xfId="5485"/>
    <cellStyle name="Normal 31 3 4 3 2 2 5" xfId="9177"/>
    <cellStyle name="Normal 31 3 4 3 2 3" xfId="2237"/>
    <cellStyle name="Normal 31 3 4 3 2 3 2" xfId="6097"/>
    <cellStyle name="Normal 31 3 4 3 2 3 3" xfId="11013"/>
    <cellStyle name="Normal 31 3 4 3 2 4" xfId="3465"/>
    <cellStyle name="Normal 31 3 4 3 2 4 2" xfId="7321"/>
    <cellStyle name="Normal 31 3 4 3 2 4 3" xfId="9771"/>
    <cellStyle name="Normal 31 3 4 3 2 5" xfId="4873"/>
    <cellStyle name="Normal 31 3 4 3 2 6" xfId="8528"/>
    <cellStyle name="Normal 31 3 4 3 3" xfId="1317"/>
    <cellStyle name="Normal 31 3 4 3 3 2" xfId="2543"/>
    <cellStyle name="Normal 31 3 4 3 3 2 2" xfId="6403"/>
    <cellStyle name="Normal 31 3 4 3 3 2 3" xfId="11355"/>
    <cellStyle name="Normal 31 3 4 3 3 3" xfId="3771"/>
    <cellStyle name="Normal 31 3 4 3 3 3 2" xfId="7627"/>
    <cellStyle name="Normal 31 3 4 3 3 3 3" xfId="10113"/>
    <cellStyle name="Normal 31 3 4 3 3 4" xfId="5179"/>
    <cellStyle name="Normal 31 3 4 3 3 5" xfId="8871"/>
    <cellStyle name="Normal 31 3 4 3 4" xfId="1931"/>
    <cellStyle name="Normal 31 3 4 3 4 2" xfId="5791"/>
    <cellStyle name="Normal 31 3 4 3 4 3" xfId="10725"/>
    <cellStyle name="Normal 31 3 4 3 5" xfId="3158"/>
    <cellStyle name="Normal 31 3 4 3 5 2" xfId="7015"/>
    <cellStyle name="Normal 31 3 4 3 5 3" xfId="11931"/>
    <cellStyle name="Normal 31 3 4 3 6" xfId="4567"/>
    <cellStyle name="Normal 31 3 4 3 6 2" xfId="9483"/>
    <cellStyle name="Normal 31 3 4 3 7" xfId="8240"/>
    <cellStyle name="Normal 31 3 4 4" xfId="918"/>
    <cellStyle name="Normal 31 3 4 4 2" xfId="1533"/>
    <cellStyle name="Normal 31 3 4 4 2 2" xfId="2759"/>
    <cellStyle name="Normal 31 3 4 4 2 2 2" xfId="6619"/>
    <cellStyle name="Normal 31 3 4 4 2 2 3" xfId="11571"/>
    <cellStyle name="Normal 31 3 4 4 2 3" xfId="3987"/>
    <cellStyle name="Normal 31 3 4 4 2 3 2" xfId="7843"/>
    <cellStyle name="Normal 31 3 4 4 2 3 3" xfId="10329"/>
    <cellStyle name="Normal 31 3 4 4 2 4" xfId="5395"/>
    <cellStyle name="Normal 31 3 4 4 2 5" xfId="9087"/>
    <cellStyle name="Normal 31 3 4 4 3" xfId="2147"/>
    <cellStyle name="Normal 31 3 4 4 3 2" xfId="6007"/>
    <cellStyle name="Normal 31 3 4 4 3 3" xfId="10923"/>
    <cellStyle name="Normal 31 3 4 4 4" xfId="3375"/>
    <cellStyle name="Normal 31 3 4 4 4 2" xfId="7231"/>
    <cellStyle name="Normal 31 3 4 4 4 3" xfId="9681"/>
    <cellStyle name="Normal 31 3 4 4 5" xfId="4783"/>
    <cellStyle name="Normal 31 3 4 4 6" xfId="8438"/>
    <cellStyle name="Normal 31 3 4 5" xfId="1227"/>
    <cellStyle name="Normal 31 3 4 5 2" xfId="2453"/>
    <cellStyle name="Normal 31 3 4 5 2 2" xfId="6313"/>
    <cellStyle name="Normal 31 3 4 5 2 3" xfId="11265"/>
    <cellStyle name="Normal 31 3 4 5 3" xfId="3681"/>
    <cellStyle name="Normal 31 3 4 5 3 2" xfId="7537"/>
    <cellStyle name="Normal 31 3 4 5 3 3" xfId="10023"/>
    <cellStyle name="Normal 31 3 4 5 4" xfId="5089"/>
    <cellStyle name="Normal 31 3 4 5 5" xfId="8781"/>
    <cellStyle name="Normal 31 3 4 6" xfId="1841"/>
    <cellStyle name="Normal 31 3 4 6 2" xfId="5701"/>
    <cellStyle name="Normal 31 3 4 6 3" xfId="10635"/>
    <cellStyle name="Normal 31 3 4 7" xfId="3068"/>
    <cellStyle name="Normal 31 3 4 7 2" xfId="6925"/>
    <cellStyle name="Normal 31 3 4 7 3" xfId="11841"/>
    <cellStyle name="Normal 31 3 4 8" xfId="4477"/>
    <cellStyle name="Normal 31 3 4 8 2" xfId="9393"/>
    <cellStyle name="Normal 31 3 4 9" xfId="8150"/>
    <cellStyle name="Normal 31 3 5" xfId="511"/>
    <cellStyle name="Normal 31 3 5 2" xfId="713"/>
    <cellStyle name="Normal 31 3 5 2 2" xfId="1063"/>
    <cellStyle name="Normal 31 3 5 2 2 2" xfId="1677"/>
    <cellStyle name="Normal 31 3 5 2 2 2 2" xfId="2903"/>
    <cellStyle name="Normal 31 3 5 2 2 2 2 2" xfId="6763"/>
    <cellStyle name="Normal 31 3 5 2 2 2 2 3" xfId="11715"/>
    <cellStyle name="Normal 31 3 5 2 2 2 3" xfId="4131"/>
    <cellStyle name="Normal 31 3 5 2 2 2 3 2" xfId="7987"/>
    <cellStyle name="Normal 31 3 5 2 2 2 3 3" xfId="10473"/>
    <cellStyle name="Normal 31 3 5 2 2 2 4" xfId="5539"/>
    <cellStyle name="Normal 31 3 5 2 2 2 5" xfId="9231"/>
    <cellStyle name="Normal 31 3 5 2 2 3" xfId="2291"/>
    <cellStyle name="Normal 31 3 5 2 2 3 2" xfId="6151"/>
    <cellStyle name="Normal 31 3 5 2 2 3 3" xfId="11067"/>
    <cellStyle name="Normal 31 3 5 2 2 4" xfId="3519"/>
    <cellStyle name="Normal 31 3 5 2 2 4 2" xfId="7375"/>
    <cellStyle name="Normal 31 3 5 2 2 4 3" xfId="9825"/>
    <cellStyle name="Normal 31 3 5 2 2 5" xfId="4927"/>
    <cellStyle name="Normal 31 3 5 2 2 6" xfId="8582"/>
    <cellStyle name="Normal 31 3 5 2 3" xfId="1371"/>
    <cellStyle name="Normal 31 3 5 2 3 2" xfId="2597"/>
    <cellStyle name="Normal 31 3 5 2 3 2 2" xfId="6457"/>
    <cellStyle name="Normal 31 3 5 2 3 2 3" xfId="11409"/>
    <cellStyle name="Normal 31 3 5 2 3 3" xfId="3825"/>
    <cellStyle name="Normal 31 3 5 2 3 3 2" xfId="7681"/>
    <cellStyle name="Normal 31 3 5 2 3 3 3" xfId="10167"/>
    <cellStyle name="Normal 31 3 5 2 3 4" xfId="5233"/>
    <cellStyle name="Normal 31 3 5 2 3 5" xfId="8925"/>
    <cellStyle name="Normal 31 3 5 2 4" xfId="1985"/>
    <cellStyle name="Normal 31 3 5 2 4 2" xfId="5845"/>
    <cellStyle name="Normal 31 3 5 2 4 3" xfId="10779"/>
    <cellStyle name="Normal 31 3 5 2 5" xfId="3212"/>
    <cellStyle name="Normal 31 3 5 2 5 2" xfId="7069"/>
    <cellStyle name="Normal 31 3 5 2 5 3" xfId="11985"/>
    <cellStyle name="Normal 31 3 5 2 6" xfId="4621"/>
    <cellStyle name="Normal 31 3 5 2 6 2" xfId="9537"/>
    <cellStyle name="Normal 31 3 5 2 7" xfId="8294"/>
    <cellStyle name="Normal 31 3 5 3" xfId="623"/>
    <cellStyle name="Normal 31 3 5 3 2" xfId="973"/>
    <cellStyle name="Normal 31 3 5 3 2 2" xfId="1587"/>
    <cellStyle name="Normal 31 3 5 3 2 2 2" xfId="2813"/>
    <cellStyle name="Normal 31 3 5 3 2 2 2 2" xfId="6673"/>
    <cellStyle name="Normal 31 3 5 3 2 2 2 3" xfId="11625"/>
    <cellStyle name="Normal 31 3 5 3 2 2 3" xfId="4041"/>
    <cellStyle name="Normal 31 3 5 3 2 2 3 2" xfId="7897"/>
    <cellStyle name="Normal 31 3 5 3 2 2 3 3" xfId="10383"/>
    <cellStyle name="Normal 31 3 5 3 2 2 4" xfId="5449"/>
    <cellStyle name="Normal 31 3 5 3 2 2 5" xfId="9141"/>
    <cellStyle name="Normal 31 3 5 3 2 3" xfId="2201"/>
    <cellStyle name="Normal 31 3 5 3 2 3 2" xfId="6061"/>
    <cellStyle name="Normal 31 3 5 3 2 3 3" xfId="10977"/>
    <cellStyle name="Normal 31 3 5 3 2 4" xfId="3429"/>
    <cellStyle name="Normal 31 3 5 3 2 4 2" xfId="7285"/>
    <cellStyle name="Normal 31 3 5 3 2 4 3" xfId="9735"/>
    <cellStyle name="Normal 31 3 5 3 2 5" xfId="4837"/>
    <cellStyle name="Normal 31 3 5 3 2 6" xfId="8492"/>
    <cellStyle name="Normal 31 3 5 3 3" xfId="1281"/>
    <cellStyle name="Normal 31 3 5 3 3 2" xfId="2507"/>
    <cellStyle name="Normal 31 3 5 3 3 2 2" xfId="6367"/>
    <cellStyle name="Normal 31 3 5 3 3 2 3" xfId="11319"/>
    <cellStyle name="Normal 31 3 5 3 3 3" xfId="3735"/>
    <cellStyle name="Normal 31 3 5 3 3 3 2" xfId="7591"/>
    <cellStyle name="Normal 31 3 5 3 3 3 3" xfId="10077"/>
    <cellStyle name="Normal 31 3 5 3 3 4" xfId="5143"/>
    <cellStyle name="Normal 31 3 5 3 3 5" xfId="8835"/>
    <cellStyle name="Normal 31 3 5 3 4" xfId="1895"/>
    <cellStyle name="Normal 31 3 5 3 4 2" xfId="5755"/>
    <cellStyle name="Normal 31 3 5 3 4 3" xfId="10689"/>
    <cellStyle name="Normal 31 3 5 3 5" xfId="3122"/>
    <cellStyle name="Normal 31 3 5 3 5 2" xfId="6979"/>
    <cellStyle name="Normal 31 3 5 3 5 3" xfId="11895"/>
    <cellStyle name="Normal 31 3 5 3 6" xfId="4531"/>
    <cellStyle name="Normal 31 3 5 3 6 2" xfId="9447"/>
    <cellStyle name="Normal 31 3 5 3 7" xfId="8204"/>
    <cellStyle name="Normal 31 3 5 4" xfId="861"/>
    <cellStyle name="Normal 31 3 5 4 2" xfId="1497"/>
    <cellStyle name="Normal 31 3 5 4 2 2" xfId="2723"/>
    <cellStyle name="Normal 31 3 5 4 2 2 2" xfId="6583"/>
    <cellStyle name="Normal 31 3 5 4 2 2 3" xfId="11535"/>
    <cellStyle name="Normal 31 3 5 4 2 3" xfId="3951"/>
    <cellStyle name="Normal 31 3 5 4 2 3 2" xfId="7807"/>
    <cellStyle name="Normal 31 3 5 4 2 3 3" xfId="10293"/>
    <cellStyle name="Normal 31 3 5 4 2 4" xfId="5359"/>
    <cellStyle name="Normal 31 3 5 4 2 5" xfId="9051"/>
    <cellStyle name="Normal 31 3 5 4 3" xfId="2111"/>
    <cellStyle name="Normal 31 3 5 4 3 2" xfId="5971"/>
    <cellStyle name="Normal 31 3 5 4 3 3" xfId="10887"/>
    <cellStyle name="Normal 31 3 5 4 4" xfId="3339"/>
    <cellStyle name="Normal 31 3 5 4 4 2" xfId="7195"/>
    <cellStyle name="Normal 31 3 5 4 4 3" xfId="9645"/>
    <cellStyle name="Normal 31 3 5 4 5" xfId="4747"/>
    <cellStyle name="Normal 31 3 5 4 6" xfId="8402"/>
    <cellStyle name="Normal 31 3 5 5" xfId="1191"/>
    <cellStyle name="Normal 31 3 5 5 2" xfId="2417"/>
    <cellStyle name="Normal 31 3 5 5 2 2" xfId="6277"/>
    <cellStyle name="Normal 31 3 5 5 2 3" xfId="11229"/>
    <cellStyle name="Normal 31 3 5 5 3" xfId="3645"/>
    <cellStyle name="Normal 31 3 5 5 3 2" xfId="7501"/>
    <cellStyle name="Normal 31 3 5 5 3 3" xfId="9987"/>
    <cellStyle name="Normal 31 3 5 5 4" xfId="5053"/>
    <cellStyle name="Normal 31 3 5 5 5" xfId="8745"/>
    <cellStyle name="Normal 31 3 5 6" xfId="1805"/>
    <cellStyle name="Normal 31 3 5 6 2" xfId="5665"/>
    <cellStyle name="Normal 31 3 5 6 3" xfId="10599"/>
    <cellStyle name="Normal 31 3 5 7" xfId="3032"/>
    <cellStyle name="Normal 31 3 5 7 2" xfId="6889"/>
    <cellStyle name="Normal 31 3 5 7 3" xfId="11805"/>
    <cellStyle name="Normal 31 3 5 8" xfId="4441"/>
    <cellStyle name="Normal 31 3 5 8 2" xfId="9357"/>
    <cellStyle name="Normal 31 3 5 9" xfId="8114"/>
    <cellStyle name="Normal 31 3 6" xfId="695"/>
    <cellStyle name="Normal 31 3 6 2" xfId="1045"/>
    <cellStyle name="Normal 31 3 6 2 2" xfId="1659"/>
    <cellStyle name="Normal 31 3 6 2 2 2" xfId="2885"/>
    <cellStyle name="Normal 31 3 6 2 2 2 2" xfId="6745"/>
    <cellStyle name="Normal 31 3 6 2 2 2 3" xfId="11697"/>
    <cellStyle name="Normal 31 3 6 2 2 3" xfId="4113"/>
    <cellStyle name="Normal 31 3 6 2 2 3 2" xfId="7969"/>
    <cellStyle name="Normal 31 3 6 2 2 3 3" xfId="10455"/>
    <cellStyle name="Normal 31 3 6 2 2 4" xfId="5521"/>
    <cellStyle name="Normal 31 3 6 2 2 5" xfId="9213"/>
    <cellStyle name="Normal 31 3 6 2 3" xfId="2273"/>
    <cellStyle name="Normal 31 3 6 2 3 2" xfId="6133"/>
    <cellStyle name="Normal 31 3 6 2 3 3" xfId="11049"/>
    <cellStyle name="Normal 31 3 6 2 4" xfId="3501"/>
    <cellStyle name="Normal 31 3 6 2 4 2" xfId="7357"/>
    <cellStyle name="Normal 31 3 6 2 4 3" xfId="9807"/>
    <cellStyle name="Normal 31 3 6 2 5" xfId="4909"/>
    <cellStyle name="Normal 31 3 6 2 6" xfId="8564"/>
    <cellStyle name="Normal 31 3 6 3" xfId="1353"/>
    <cellStyle name="Normal 31 3 6 3 2" xfId="2579"/>
    <cellStyle name="Normal 31 3 6 3 2 2" xfId="6439"/>
    <cellStyle name="Normal 31 3 6 3 2 3" xfId="11391"/>
    <cellStyle name="Normal 31 3 6 3 3" xfId="3807"/>
    <cellStyle name="Normal 31 3 6 3 3 2" xfId="7663"/>
    <cellStyle name="Normal 31 3 6 3 3 3" xfId="10149"/>
    <cellStyle name="Normal 31 3 6 3 4" xfId="5215"/>
    <cellStyle name="Normal 31 3 6 3 5" xfId="8907"/>
    <cellStyle name="Normal 31 3 6 4" xfId="1967"/>
    <cellStyle name="Normal 31 3 6 4 2" xfId="5827"/>
    <cellStyle name="Normal 31 3 6 4 3" xfId="10761"/>
    <cellStyle name="Normal 31 3 6 5" xfId="3194"/>
    <cellStyle name="Normal 31 3 6 5 2" xfId="7051"/>
    <cellStyle name="Normal 31 3 6 5 3" xfId="11967"/>
    <cellStyle name="Normal 31 3 6 6" xfId="4603"/>
    <cellStyle name="Normal 31 3 6 6 2" xfId="9519"/>
    <cellStyle name="Normal 31 3 6 7" xfId="8276"/>
    <cellStyle name="Normal 31 3 7" xfId="605"/>
    <cellStyle name="Normal 31 3 7 2" xfId="955"/>
    <cellStyle name="Normal 31 3 7 2 2" xfId="1569"/>
    <cellStyle name="Normal 31 3 7 2 2 2" xfId="2795"/>
    <cellStyle name="Normal 31 3 7 2 2 2 2" xfId="6655"/>
    <cellStyle name="Normal 31 3 7 2 2 2 3" xfId="11607"/>
    <cellStyle name="Normal 31 3 7 2 2 3" xfId="4023"/>
    <cellStyle name="Normal 31 3 7 2 2 3 2" xfId="7879"/>
    <cellStyle name="Normal 31 3 7 2 2 3 3" xfId="10365"/>
    <cellStyle name="Normal 31 3 7 2 2 4" xfId="5431"/>
    <cellStyle name="Normal 31 3 7 2 2 5" xfId="9123"/>
    <cellStyle name="Normal 31 3 7 2 3" xfId="2183"/>
    <cellStyle name="Normal 31 3 7 2 3 2" xfId="6043"/>
    <cellStyle name="Normal 31 3 7 2 3 3" xfId="10959"/>
    <cellStyle name="Normal 31 3 7 2 4" xfId="3411"/>
    <cellStyle name="Normal 31 3 7 2 4 2" xfId="7267"/>
    <cellStyle name="Normal 31 3 7 2 4 3" xfId="9717"/>
    <cellStyle name="Normal 31 3 7 2 5" xfId="4819"/>
    <cellStyle name="Normal 31 3 7 2 6" xfId="8474"/>
    <cellStyle name="Normal 31 3 7 3" xfId="1263"/>
    <cellStyle name="Normal 31 3 7 3 2" xfId="2489"/>
    <cellStyle name="Normal 31 3 7 3 2 2" xfId="6349"/>
    <cellStyle name="Normal 31 3 7 3 2 3" xfId="11301"/>
    <cellStyle name="Normal 31 3 7 3 3" xfId="3717"/>
    <cellStyle name="Normal 31 3 7 3 3 2" xfId="7573"/>
    <cellStyle name="Normal 31 3 7 3 3 3" xfId="10059"/>
    <cellStyle name="Normal 31 3 7 3 4" xfId="5125"/>
    <cellStyle name="Normal 31 3 7 3 5" xfId="8817"/>
    <cellStyle name="Normal 31 3 7 4" xfId="1877"/>
    <cellStyle name="Normal 31 3 7 4 2" xfId="5737"/>
    <cellStyle name="Normal 31 3 7 4 3" xfId="10671"/>
    <cellStyle name="Normal 31 3 7 5" xfId="3104"/>
    <cellStyle name="Normal 31 3 7 5 2" xfId="6961"/>
    <cellStyle name="Normal 31 3 7 5 3" xfId="11877"/>
    <cellStyle name="Normal 31 3 7 6" xfId="4513"/>
    <cellStyle name="Normal 31 3 7 6 2" xfId="9429"/>
    <cellStyle name="Normal 31 3 7 7" xfId="8186"/>
    <cellStyle name="Normal 31 3 8" xfId="491"/>
    <cellStyle name="Normal 31 3 8 2" xfId="841"/>
    <cellStyle name="Normal 31 3 8 2 2" xfId="1479"/>
    <cellStyle name="Normal 31 3 8 2 2 2" xfId="2705"/>
    <cellStyle name="Normal 31 3 8 2 2 2 2" xfId="6565"/>
    <cellStyle name="Normal 31 3 8 2 2 2 3" xfId="11517"/>
    <cellStyle name="Normal 31 3 8 2 2 3" xfId="3933"/>
    <cellStyle name="Normal 31 3 8 2 2 3 2" xfId="7789"/>
    <cellStyle name="Normal 31 3 8 2 2 3 3" xfId="10275"/>
    <cellStyle name="Normal 31 3 8 2 2 4" xfId="5341"/>
    <cellStyle name="Normal 31 3 8 2 2 5" xfId="9033"/>
    <cellStyle name="Normal 31 3 8 2 3" xfId="2093"/>
    <cellStyle name="Normal 31 3 8 2 3 2" xfId="5953"/>
    <cellStyle name="Normal 31 3 8 2 3 3" xfId="10869"/>
    <cellStyle name="Normal 31 3 8 2 4" xfId="3321"/>
    <cellStyle name="Normal 31 3 8 2 4 2" xfId="7177"/>
    <cellStyle name="Normal 31 3 8 2 4 3" xfId="9627"/>
    <cellStyle name="Normal 31 3 8 2 5" xfId="4729"/>
    <cellStyle name="Normal 31 3 8 2 6" xfId="8384"/>
    <cellStyle name="Normal 31 3 8 3" xfId="1173"/>
    <cellStyle name="Normal 31 3 8 3 2" xfId="2399"/>
    <cellStyle name="Normal 31 3 8 3 2 2" xfId="6259"/>
    <cellStyle name="Normal 31 3 8 3 2 3" xfId="11211"/>
    <cellStyle name="Normal 31 3 8 3 3" xfId="3627"/>
    <cellStyle name="Normal 31 3 8 3 3 2" xfId="7483"/>
    <cellStyle name="Normal 31 3 8 3 3 3" xfId="9969"/>
    <cellStyle name="Normal 31 3 8 3 4" xfId="5035"/>
    <cellStyle name="Normal 31 3 8 3 5" xfId="8727"/>
    <cellStyle name="Normal 31 3 8 4" xfId="1787"/>
    <cellStyle name="Normal 31 3 8 4 2" xfId="5647"/>
    <cellStyle name="Normal 31 3 8 4 3" xfId="10581"/>
    <cellStyle name="Normal 31 3 8 5" xfId="3014"/>
    <cellStyle name="Normal 31 3 8 5 2" xfId="6871"/>
    <cellStyle name="Normal 31 3 8 5 3" xfId="12057"/>
    <cellStyle name="Normal 31 3 8 6" xfId="4423"/>
    <cellStyle name="Normal 31 3 8 6 2" xfId="9339"/>
    <cellStyle name="Normal 31 3 8 7" xfId="8096"/>
    <cellStyle name="Normal 31 3 9" xfId="803"/>
    <cellStyle name="Normal 31 3 9 2" xfId="1443"/>
    <cellStyle name="Normal 31 3 9 2 2" xfId="2669"/>
    <cellStyle name="Normal 31 3 9 2 2 2" xfId="6529"/>
    <cellStyle name="Normal 31 3 9 2 2 3" xfId="11481"/>
    <cellStyle name="Normal 31 3 9 2 3" xfId="3897"/>
    <cellStyle name="Normal 31 3 9 2 3 2" xfId="7753"/>
    <cellStyle name="Normal 31 3 9 2 3 3" xfId="10239"/>
    <cellStyle name="Normal 31 3 9 2 4" xfId="5305"/>
    <cellStyle name="Normal 31 3 9 2 5" xfId="8997"/>
    <cellStyle name="Normal 31 3 9 3" xfId="2057"/>
    <cellStyle name="Normal 31 3 9 3 2" xfId="5917"/>
    <cellStyle name="Normal 31 3 9 3 3" xfId="10851"/>
    <cellStyle name="Normal 31 3 9 4" xfId="3285"/>
    <cellStyle name="Normal 31 3 9 4 2" xfId="7141"/>
    <cellStyle name="Normal 31 3 9 4 3" xfId="9609"/>
    <cellStyle name="Normal 31 3 9 5" xfId="4693"/>
    <cellStyle name="Normal 31 3 9 6" xfId="8366"/>
    <cellStyle name="Normal 31 4" xfId="454"/>
    <cellStyle name="Normal 31 4 10" xfId="1753"/>
    <cellStyle name="Normal 31 4 10 2" xfId="5613"/>
    <cellStyle name="Normal 31 4 10 3" xfId="10547"/>
    <cellStyle name="Normal 31 4 11" xfId="2980"/>
    <cellStyle name="Normal 31 4 11 2" xfId="6837"/>
    <cellStyle name="Normal 31 4 11 3" xfId="11789"/>
    <cellStyle name="Normal 31 4 12" xfId="4389"/>
    <cellStyle name="Normal 31 4 12 2" xfId="9305"/>
    <cellStyle name="Normal 31 4 13" xfId="8062"/>
    <cellStyle name="Normal 31 4 2" xfId="475"/>
    <cellStyle name="Normal 31 4 2 10" xfId="4407"/>
    <cellStyle name="Normal 31 4 2 10 2" xfId="9323"/>
    <cellStyle name="Normal 31 4 2 11" xfId="8080"/>
    <cellStyle name="Normal 31 4 2 2" xfId="588"/>
    <cellStyle name="Normal 31 4 2 2 2" xfId="769"/>
    <cellStyle name="Normal 31 4 2 2 2 2" xfId="1119"/>
    <cellStyle name="Normal 31 4 2 2 2 2 2" xfId="1733"/>
    <cellStyle name="Normal 31 4 2 2 2 2 2 2" xfId="2959"/>
    <cellStyle name="Normal 31 4 2 2 2 2 2 2 2" xfId="6819"/>
    <cellStyle name="Normal 31 4 2 2 2 2 2 2 3" xfId="11771"/>
    <cellStyle name="Normal 31 4 2 2 2 2 2 3" xfId="4187"/>
    <cellStyle name="Normal 31 4 2 2 2 2 2 3 2" xfId="8043"/>
    <cellStyle name="Normal 31 4 2 2 2 2 2 3 3" xfId="10529"/>
    <cellStyle name="Normal 31 4 2 2 2 2 2 4" xfId="5595"/>
    <cellStyle name="Normal 31 4 2 2 2 2 2 5" xfId="9287"/>
    <cellStyle name="Normal 31 4 2 2 2 2 3" xfId="2347"/>
    <cellStyle name="Normal 31 4 2 2 2 2 3 2" xfId="6207"/>
    <cellStyle name="Normal 31 4 2 2 2 2 3 3" xfId="11123"/>
    <cellStyle name="Normal 31 4 2 2 2 2 4" xfId="3575"/>
    <cellStyle name="Normal 31 4 2 2 2 2 4 2" xfId="7431"/>
    <cellStyle name="Normal 31 4 2 2 2 2 4 3" xfId="9881"/>
    <cellStyle name="Normal 31 4 2 2 2 2 5" xfId="4983"/>
    <cellStyle name="Normal 31 4 2 2 2 2 6" xfId="8638"/>
    <cellStyle name="Normal 31 4 2 2 2 3" xfId="1427"/>
    <cellStyle name="Normal 31 4 2 2 2 3 2" xfId="2653"/>
    <cellStyle name="Normal 31 4 2 2 2 3 2 2" xfId="6513"/>
    <cellStyle name="Normal 31 4 2 2 2 3 2 3" xfId="11465"/>
    <cellStyle name="Normal 31 4 2 2 2 3 3" xfId="3881"/>
    <cellStyle name="Normal 31 4 2 2 2 3 3 2" xfId="7737"/>
    <cellStyle name="Normal 31 4 2 2 2 3 3 3" xfId="10223"/>
    <cellStyle name="Normal 31 4 2 2 2 3 4" xfId="5289"/>
    <cellStyle name="Normal 31 4 2 2 2 3 5" xfId="8981"/>
    <cellStyle name="Normal 31 4 2 2 2 4" xfId="2041"/>
    <cellStyle name="Normal 31 4 2 2 2 4 2" xfId="5901"/>
    <cellStyle name="Normal 31 4 2 2 2 4 3" xfId="10835"/>
    <cellStyle name="Normal 31 4 2 2 2 5" xfId="3268"/>
    <cellStyle name="Normal 31 4 2 2 2 5 2" xfId="7125"/>
    <cellStyle name="Normal 31 4 2 2 2 5 3" xfId="12041"/>
    <cellStyle name="Normal 31 4 2 2 2 6" xfId="4677"/>
    <cellStyle name="Normal 31 4 2 2 2 6 2" xfId="9593"/>
    <cellStyle name="Normal 31 4 2 2 2 7" xfId="8350"/>
    <cellStyle name="Normal 31 4 2 2 3" xfId="679"/>
    <cellStyle name="Normal 31 4 2 2 3 2" xfId="1029"/>
    <cellStyle name="Normal 31 4 2 2 3 2 2" xfId="1643"/>
    <cellStyle name="Normal 31 4 2 2 3 2 2 2" xfId="2869"/>
    <cellStyle name="Normal 31 4 2 2 3 2 2 2 2" xfId="6729"/>
    <cellStyle name="Normal 31 4 2 2 3 2 2 2 3" xfId="11681"/>
    <cellStyle name="Normal 31 4 2 2 3 2 2 3" xfId="4097"/>
    <cellStyle name="Normal 31 4 2 2 3 2 2 3 2" xfId="7953"/>
    <cellStyle name="Normal 31 4 2 2 3 2 2 3 3" xfId="10439"/>
    <cellStyle name="Normal 31 4 2 2 3 2 2 4" xfId="5505"/>
    <cellStyle name="Normal 31 4 2 2 3 2 2 5" xfId="9197"/>
    <cellStyle name="Normal 31 4 2 2 3 2 3" xfId="2257"/>
    <cellStyle name="Normal 31 4 2 2 3 2 3 2" xfId="6117"/>
    <cellStyle name="Normal 31 4 2 2 3 2 3 3" xfId="11033"/>
    <cellStyle name="Normal 31 4 2 2 3 2 4" xfId="3485"/>
    <cellStyle name="Normal 31 4 2 2 3 2 4 2" xfId="7341"/>
    <cellStyle name="Normal 31 4 2 2 3 2 4 3" xfId="9791"/>
    <cellStyle name="Normal 31 4 2 2 3 2 5" xfId="4893"/>
    <cellStyle name="Normal 31 4 2 2 3 2 6" xfId="8548"/>
    <cellStyle name="Normal 31 4 2 2 3 3" xfId="1337"/>
    <cellStyle name="Normal 31 4 2 2 3 3 2" xfId="2563"/>
    <cellStyle name="Normal 31 4 2 2 3 3 2 2" xfId="6423"/>
    <cellStyle name="Normal 31 4 2 2 3 3 2 3" xfId="11375"/>
    <cellStyle name="Normal 31 4 2 2 3 3 3" xfId="3791"/>
    <cellStyle name="Normal 31 4 2 2 3 3 3 2" xfId="7647"/>
    <cellStyle name="Normal 31 4 2 2 3 3 3 3" xfId="10133"/>
    <cellStyle name="Normal 31 4 2 2 3 3 4" xfId="5199"/>
    <cellStyle name="Normal 31 4 2 2 3 3 5" xfId="8891"/>
    <cellStyle name="Normal 31 4 2 2 3 4" xfId="1951"/>
    <cellStyle name="Normal 31 4 2 2 3 4 2" xfId="5811"/>
    <cellStyle name="Normal 31 4 2 2 3 4 3" xfId="10745"/>
    <cellStyle name="Normal 31 4 2 2 3 5" xfId="3178"/>
    <cellStyle name="Normal 31 4 2 2 3 5 2" xfId="7035"/>
    <cellStyle name="Normal 31 4 2 2 3 5 3" xfId="11951"/>
    <cellStyle name="Normal 31 4 2 2 3 6" xfId="4587"/>
    <cellStyle name="Normal 31 4 2 2 3 6 2" xfId="9503"/>
    <cellStyle name="Normal 31 4 2 2 3 7" xfId="8260"/>
    <cellStyle name="Normal 31 4 2 2 4" xfId="938"/>
    <cellStyle name="Normal 31 4 2 2 4 2" xfId="1553"/>
    <cellStyle name="Normal 31 4 2 2 4 2 2" xfId="2779"/>
    <cellStyle name="Normal 31 4 2 2 4 2 2 2" xfId="6639"/>
    <cellStyle name="Normal 31 4 2 2 4 2 2 3" xfId="11591"/>
    <cellStyle name="Normal 31 4 2 2 4 2 3" xfId="4007"/>
    <cellStyle name="Normal 31 4 2 2 4 2 3 2" xfId="7863"/>
    <cellStyle name="Normal 31 4 2 2 4 2 3 3" xfId="10349"/>
    <cellStyle name="Normal 31 4 2 2 4 2 4" xfId="5415"/>
    <cellStyle name="Normal 31 4 2 2 4 2 5" xfId="9107"/>
    <cellStyle name="Normal 31 4 2 2 4 3" xfId="2167"/>
    <cellStyle name="Normal 31 4 2 2 4 3 2" xfId="6027"/>
    <cellStyle name="Normal 31 4 2 2 4 3 3" xfId="10943"/>
    <cellStyle name="Normal 31 4 2 2 4 4" xfId="3395"/>
    <cellStyle name="Normal 31 4 2 2 4 4 2" xfId="7251"/>
    <cellStyle name="Normal 31 4 2 2 4 4 3" xfId="9701"/>
    <cellStyle name="Normal 31 4 2 2 4 5" xfId="4803"/>
    <cellStyle name="Normal 31 4 2 2 4 6" xfId="8458"/>
    <cellStyle name="Normal 31 4 2 2 5" xfId="1247"/>
    <cellStyle name="Normal 31 4 2 2 5 2" xfId="2473"/>
    <cellStyle name="Normal 31 4 2 2 5 2 2" xfId="6333"/>
    <cellStyle name="Normal 31 4 2 2 5 2 3" xfId="11285"/>
    <cellStyle name="Normal 31 4 2 2 5 3" xfId="3701"/>
    <cellStyle name="Normal 31 4 2 2 5 3 2" xfId="7557"/>
    <cellStyle name="Normal 31 4 2 2 5 3 3" xfId="10043"/>
    <cellStyle name="Normal 31 4 2 2 5 4" xfId="5109"/>
    <cellStyle name="Normal 31 4 2 2 5 5" xfId="8801"/>
    <cellStyle name="Normal 31 4 2 2 6" xfId="1861"/>
    <cellStyle name="Normal 31 4 2 2 6 2" xfId="5721"/>
    <cellStyle name="Normal 31 4 2 2 6 3" xfId="10655"/>
    <cellStyle name="Normal 31 4 2 2 7" xfId="3088"/>
    <cellStyle name="Normal 31 4 2 2 7 2" xfId="6945"/>
    <cellStyle name="Normal 31 4 2 2 7 3" xfId="11861"/>
    <cellStyle name="Normal 31 4 2 2 8" xfId="4497"/>
    <cellStyle name="Normal 31 4 2 2 8 2" xfId="9413"/>
    <cellStyle name="Normal 31 4 2 2 9" xfId="8170"/>
    <cellStyle name="Normal 31 4 2 3" xfId="733"/>
    <cellStyle name="Normal 31 4 2 3 2" xfId="1083"/>
    <cellStyle name="Normal 31 4 2 3 2 2" xfId="1697"/>
    <cellStyle name="Normal 31 4 2 3 2 2 2" xfId="2923"/>
    <cellStyle name="Normal 31 4 2 3 2 2 2 2" xfId="6783"/>
    <cellStyle name="Normal 31 4 2 3 2 2 2 3" xfId="11735"/>
    <cellStyle name="Normal 31 4 2 3 2 2 3" xfId="4151"/>
    <cellStyle name="Normal 31 4 2 3 2 2 3 2" xfId="8007"/>
    <cellStyle name="Normal 31 4 2 3 2 2 3 3" xfId="10493"/>
    <cellStyle name="Normal 31 4 2 3 2 2 4" xfId="5559"/>
    <cellStyle name="Normal 31 4 2 3 2 2 5" xfId="9251"/>
    <cellStyle name="Normal 31 4 2 3 2 3" xfId="2311"/>
    <cellStyle name="Normal 31 4 2 3 2 3 2" xfId="6171"/>
    <cellStyle name="Normal 31 4 2 3 2 3 3" xfId="11087"/>
    <cellStyle name="Normal 31 4 2 3 2 4" xfId="3539"/>
    <cellStyle name="Normal 31 4 2 3 2 4 2" xfId="7395"/>
    <cellStyle name="Normal 31 4 2 3 2 4 3" xfId="9845"/>
    <cellStyle name="Normal 31 4 2 3 2 5" xfId="4947"/>
    <cellStyle name="Normal 31 4 2 3 2 6" xfId="8602"/>
    <cellStyle name="Normal 31 4 2 3 3" xfId="1391"/>
    <cellStyle name="Normal 31 4 2 3 3 2" xfId="2617"/>
    <cellStyle name="Normal 31 4 2 3 3 2 2" xfId="6477"/>
    <cellStyle name="Normal 31 4 2 3 3 2 3" xfId="11429"/>
    <cellStyle name="Normal 31 4 2 3 3 3" xfId="3845"/>
    <cellStyle name="Normal 31 4 2 3 3 3 2" xfId="7701"/>
    <cellStyle name="Normal 31 4 2 3 3 3 3" xfId="10187"/>
    <cellStyle name="Normal 31 4 2 3 3 4" xfId="5253"/>
    <cellStyle name="Normal 31 4 2 3 3 5" xfId="8945"/>
    <cellStyle name="Normal 31 4 2 3 4" xfId="2005"/>
    <cellStyle name="Normal 31 4 2 3 4 2" xfId="5865"/>
    <cellStyle name="Normal 31 4 2 3 4 3" xfId="10799"/>
    <cellStyle name="Normal 31 4 2 3 5" xfId="3232"/>
    <cellStyle name="Normal 31 4 2 3 5 2" xfId="7089"/>
    <cellStyle name="Normal 31 4 2 3 5 3" xfId="12005"/>
    <cellStyle name="Normal 31 4 2 3 6" xfId="4641"/>
    <cellStyle name="Normal 31 4 2 3 6 2" xfId="9557"/>
    <cellStyle name="Normal 31 4 2 3 7" xfId="8314"/>
    <cellStyle name="Normal 31 4 2 4" xfId="643"/>
    <cellStyle name="Normal 31 4 2 4 2" xfId="993"/>
    <cellStyle name="Normal 31 4 2 4 2 2" xfId="1607"/>
    <cellStyle name="Normal 31 4 2 4 2 2 2" xfId="2833"/>
    <cellStyle name="Normal 31 4 2 4 2 2 2 2" xfId="6693"/>
    <cellStyle name="Normal 31 4 2 4 2 2 2 3" xfId="11645"/>
    <cellStyle name="Normal 31 4 2 4 2 2 3" xfId="4061"/>
    <cellStyle name="Normal 31 4 2 4 2 2 3 2" xfId="7917"/>
    <cellStyle name="Normal 31 4 2 4 2 2 3 3" xfId="10403"/>
    <cellStyle name="Normal 31 4 2 4 2 2 4" xfId="5469"/>
    <cellStyle name="Normal 31 4 2 4 2 2 5" xfId="9161"/>
    <cellStyle name="Normal 31 4 2 4 2 3" xfId="2221"/>
    <cellStyle name="Normal 31 4 2 4 2 3 2" xfId="6081"/>
    <cellStyle name="Normal 31 4 2 4 2 3 3" xfId="10997"/>
    <cellStyle name="Normal 31 4 2 4 2 4" xfId="3449"/>
    <cellStyle name="Normal 31 4 2 4 2 4 2" xfId="7305"/>
    <cellStyle name="Normal 31 4 2 4 2 4 3" xfId="9755"/>
    <cellStyle name="Normal 31 4 2 4 2 5" xfId="4857"/>
    <cellStyle name="Normal 31 4 2 4 2 6" xfId="8512"/>
    <cellStyle name="Normal 31 4 2 4 3" xfId="1301"/>
    <cellStyle name="Normal 31 4 2 4 3 2" xfId="2527"/>
    <cellStyle name="Normal 31 4 2 4 3 2 2" xfId="6387"/>
    <cellStyle name="Normal 31 4 2 4 3 2 3" xfId="11339"/>
    <cellStyle name="Normal 31 4 2 4 3 3" xfId="3755"/>
    <cellStyle name="Normal 31 4 2 4 3 3 2" xfId="7611"/>
    <cellStyle name="Normal 31 4 2 4 3 3 3" xfId="10097"/>
    <cellStyle name="Normal 31 4 2 4 3 4" xfId="5163"/>
    <cellStyle name="Normal 31 4 2 4 3 5" xfId="8855"/>
    <cellStyle name="Normal 31 4 2 4 4" xfId="1915"/>
    <cellStyle name="Normal 31 4 2 4 4 2" xfId="5775"/>
    <cellStyle name="Normal 31 4 2 4 4 3" xfId="10709"/>
    <cellStyle name="Normal 31 4 2 4 5" xfId="3142"/>
    <cellStyle name="Normal 31 4 2 4 5 2" xfId="6999"/>
    <cellStyle name="Normal 31 4 2 4 5 3" xfId="11915"/>
    <cellStyle name="Normal 31 4 2 4 6" xfId="4551"/>
    <cellStyle name="Normal 31 4 2 4 6 2" xfId="9467"/>
    <cellStyle name="Normal 31 4 2 4 7" xfId="8224"/>
    <cellStyle name="Normal 31 4 2 5" xfId="549"/>
    <cellStyle name="Normal 31 4 2 5 2" xfId="899"/>
    <cellStyle name="Normal 31 4 2 5 2 2" xfId="1517"/>
    <cellStyle name="Normal 31 4 2 5 2 2 2" xfId="2743"/>
    <cellStyle name="Normal 31 4 2 5 2 2 2 2" xfId="6603"/>
    <cellStyle name="Normal 31 4 2 5 2 2 2 3" xfId="11555"/>
    <cellStyle name="Normal 31 4 2 5 2 2 3" xfId="3971"/>
    <cellStyle name="Normal 31 4 2 5 2 2 3 2" xfId="7827"/>
    <cellStyle name="Normal 31 4 2 5 2 2 3 3" xfId="10313"/>
    <cellStyle name="Normal 31 4 2 5 2 2 4" xfId="5379"/>
    <cellStyle name="Normal 31 4 2 5 2 2 5" xfId="9071"/>
    <cellStyle name="Normal 31 4 2 5 2 3" xfId="2131"/>
    <cellStyle name="Normal 31 4 2 5 2 3 2" xfId="5991"/>
    <cellStyle name="Normal 31 4 2 5 2 3 3" xfId="11159"/>
    <cellStyle name="Normal 31 4 2 5 2 4" xfId="3359"/>
    <cellStyle name="Normal 31 4 2 5 2 4 2" xfId="7215"/>
    <cellStyle name="Normal 31 4 2 5 2 4 3" xfId="9917"/>
    <cellStyle name="Normal 31 4 2 5 2 5" xfId="4767"/>
    <cellStyle name="Normal 31 4 2 5 2 6" xfId="8675"/>
    <cellStyle name="Normal 31 4 2 5 3" xfId="1211"/>
    <cellStyle name="Normal 31 4 2 5 3 2" xfId="2437"/>
    <cellStyle name="Normal 31 4 2 5 3 2 2" xfId="6297"/>
    <cellStyle name="Normal 31 4 2 5 3 2 3" xfId="11249"/>
    <cellStyle name="Normal 31 4 2 5 3 3" xfId="3665"/>
    <cellStyle name="Normal 31 4 2 5 3 3 2" xfId="7521"/>
    <cellStyle name="Normal 31 4 2 5 3 3 3" xfId="10007"/>
    <cellStyle name="Normal 31 4 2 5 3 4" xfId="5073"/>
    <cellStyle name="Normal 31 4 2 5 3 5" xfId="8765"/>
    <cellStyle name="Normal 31 4 2 5 4" xfId="1825"/>
    <cellStyle name="Normal 31 4 2 5 4 2" xfId="5685"/>
    <cellStyle name="Normal 31 4 2 5 4 2 2" xfId="11141"/>
    <cellStyle name="Normal 31 4 2 5 4 3" xfId="9899"/>
    <cellStyle name="Normal 31 4 2 5 4 4" xfId="8656"/>
    <cellStyle name="Normal 31 4 2 5 5" xfId="3052"/>
    <cellStyle name="Normal 31 4 2 5 5 2" xfId="6909"/>
    <cellStyle name="Normal 31 4 2 5 5 3" xfId="10619"/>
    <cellStyle name="Normal 31 4 2 5 6" xfId="4461"/>
    <cellStyle name="Normal 31 4 2 5 6 2" xfId="9377"/>
    <cellStyle name="Normal 31 4 2 5 7" xfId="8134"/>
    <cellStyle name="Normal 31 4 2 6" xfId="825"/>
    <cellStyle name="Normal 31 4 2 6 2" xfId="1463"/>
    <cellStyle name="Normal 31 4 2 6 2 2" xfId="2689"/>
    <cellStyle name="Normal 31 4 2 6 2 2 2" xfId="6549"/>
    <cellStyle name="Normal 31 4 2 6 2 2 3" xfId="11501"/>
    <cellStyle name="Normal 31 4 2 6 2 3" xfId="3917"/>
    <cellStyle name="Normal 31 4 2 6 2 3 2" xfId="7773"/>
    <cellStyle name="Normal 31 4 2 6 2 3 3" xfId="10259"/>
    <cellStyle name="Normal 31 4 2 6 2 4" xfId="5325"/>
    <cellStyle name="Normal 31 4 2 6 2 5" xfId="9017"/>
    <cellStyle name="Normal 31 4 2 6 3" xfId="2077"/>
    <cellStyle name="Normal 31 4 2 6 3 2" xfId="5937"/>
    <cellStyle name="Normal 31 4 2 6 3 3" xfId="10907"/>
    <cellStyle name="Normal 31 4 2 6 4" xfId="3305"/>
    <cellStyle name="Normal 31 4 2 6 4 2" xfId="7161"/>
    <cellStyle name="Normal 31 4 2 6 4 3" xfId="9665"/>
    <cellStyle name="Normal 31 4 2 6 5" xfId="4713"/>
    <cellStyle name="Normal 31 4 2 6 6" xfId="8422"/>
    <cellStyle name="Normal 31 4 2 7" xfId="1157"/>
    <cellStyle name="Normal 31 4 2 7 2" xfId="2383"/>
    <cellStyle name="Normal 31 4 2 7 2 2" xfId="6243"/>
    <cellStyle name="Normal 31 4 2 7 2 3" xfId="11195"/>
    <cellStyle name="Normal 31 4 2 7 3" xfId="3611"/>
    <cellStyle name="Normal 31 4 2 7 3 2" xfId="7467"/>
    <cellStyle name="Normal 31 4 2 7 3 3" xfId="9953"/>
    <cellStyle name="Normal 31 4 2 7 4" xfId="5019"/>
    <cellStyle name="Normal 31 4 2 7 5" xfId="8711"/>
    <cellStyle name="Normal 31 4 2 8" xfId="1771"/>
    <cellStyle name="Normal 31 4 2 8 2" xfId="5631"/>
    <cellStyle name="Normal 31 4 2 8 3" xfId="10565"/>
    <cellStyle name="Normal 31 4 2 9" xfId="2998"/>
    <cellStyle name="Normal 31 4 2 9 2" xfId="6855"/>
    <cellStyle name="Normal 31 4 2 9 3" xfId="11825"/>
    <cellStyle name="Normal 31 4 3" xfId="570"/>
    <cellStyle name="Normal 31 4 3 2" xfId="751"/>
    <cellStyle name="Normal 31 4 3 2 2" xfId="1101"/>
    <cellStyle name="Normal 31 4 3 2 2 2" xfId="1715"/>
    <cellStyle name="Normal 31 4 3 2 2 2 2" xfId="2941"/>
    <cellStyle name="Normal 31 4 3 2 2 2 2 2" xfId="6801"/>
    <cellStyle name="Normal 31 4 3 2 2 2 2 3" xfId="11753"/>
    <cellStyle name="Normal 31 4 3 2 2 2 3" xfId="4169"/>
    <cellStyle name="Normal 31 4 3 2 2 2 3 2" xfId="8025"/>
    <cellStyle name="Normal 31 4 3 2 2 2 3 3" xfId="10511"/>
    <cellStyle name="Normal 31 4 3 2 2 2 4" xfId="5577"/>
    <cellStyle name="Normal 31 4 3 2 2 2 5" xfId="9269"/>
    <cellStyle name="Normal 31 4 3 2 2 3" xfId="2329"/>
    <cellStyle name="Normal 31 4 3 2 2 3 2" xfId="6189"/>
    <cellStyle name="Normal 31 4 3 2 2 3 3" xfId="11105"/>
    <cellStyle name="Normal 31 4 3 2 2 4" xfId="3557"/>
    <cellStyle name="Normal 31 4 3 2 2 4 2" xfId="7413"/>
    <cellStyle name="Normal 31 4 3 2 2 4 3" xfId="9863"/>
    <cellStyle name="Normal 31 4 3 2 2 5" xfId="4965"/>
    <cellStyle name="Normal 31 4 3 2 2 6" xfId="8620"/>
    <cellStyle name="Normal 31 4 3 2 3" xfId="1409"/>
    <cellStyle name="Normal 31 4 3 2 3 2" xfId="2635"/>
    <cellStyle name="Normal 31 4 3 2 3 2 2" xfId="6495"/>
    <cellStyle name="Normal 31 4 3 2 3 2 3" xfId="11447"/>
    <cellStyle name="Normal 31 4 3 2 3 3" xfId="3863"/>
    <cellStyle name="Normal 31 4 3 2 3 3 2" xfId="7719"/>
    <cellStyle name="Normal 31 4 3 2 3 3 3" xfId="10205"/>
    <cellStyle name="Normal 31 4 3 2 3 4" xfId="5271"/>
    <cellStyle name="Normal 31 4 3 2 3 5" xfId="8963"/>
    <cellStyle name="Normal 31 4 3 2 4" xfId="2023"/>
    <cellStyle name="Normal 31 4 3 2 4 2" xfId="5883"/>
    <cellStyle name="Normal 31 4 3 2 4 3" xfId="10817"/>
    <cellStyle name="Normal 31 4 3 2 5" xfId="3250"/>
    <cellStyle name="Normal 31 4 3 2 5 2" xfId="7107"/>
    <cellStyle name="Normal 31 4 3 2 5 3" xfId="12023"/>
    <cellStyle name="Normal 31 4 3 2 6" xfId="4659"/>
    <cellStyle name="Normal 31 4 3 2 6 2" xfId="9575"/>
    <cellStyle name="Normal 31 4 3 2 7" xfId="8332"/>
    <cellStyle name="Normal 31 4 3 3" xfId="661"/>
    <cellStyle name="Normal 31 4 3 3 2" xfId="1011"/>
    <cellStyle name="Normal 31 4 3 3 2 2" xfId="1625"/>
    <cellStyle name="Normal 31 4 3 3 2 2 2" xfId="2851"/>
    <cellStyle name="Normal 31 4 3 3 2 2 2 2" xfId="6711"/>
    <cellStyle name="Normal 31 4 3 3 2 2 2 3" xfId="11663"/>
    <cellStyle name="Normal 31 4 3 3 2 2 3" xfId="4079"/>
    <cellStyle name="Normal 31 4 3 3 2 2 3 2" xfId="7935"/>
    <cellStyle name="Normal 31 4 3 3 2 2 3 3" xfId="10421"/>
    <cellStyle name="Normal 31 4 3 3 2 2 4" xfId="5487"/>
    <cellStyle name="Normal 31 4 3 3 2 2 5" xfId="9179"/>
    <cellStyle name="Normal 31 4 3 3 2 3" xfId="2239"/>
    <cellStyle name="Normal 31 4 3 3 2 3 2" xfId="6099"/>
    <cellStyle name="Normal 31 4 3 3 2 3 3" xfId="11015"/>
    <cellStyle name="Normal 31 4 3 3 2 4" xfId="3467"/>
    <cellStyle name="Normal 31 4 3 3 2 4 2" xfId="7323"/>
    <cellStyle name="Normal 31 4 3 3 2 4 3" xfId="9773"/>
    <cellStyle name="Normal 31 4 3 3 2 5" xfId="4875"/>
    <cellStyle name="Normal 31 4 3 3 2 6" xfId="8530"/>
    <cellStyle name="Normal 31 4 3 3 3" xfId="1319"/>
    <cellStyle name="Normal 31 4 3 3 3 2" xfId="2545"/>
    <cellStyle name="Normal 31 4 3 3 3 2 2" xfId="6405"/>
    <cellStyle name="Normal 31 4 3 3 3 2 3" xfId="11357"/>
    <cellStyle name="Normal 31 4 3 3 3 3" xfId="3773"/>
    <cellStyle name="Normal 31 4 3 3 3 3 2" xfId="7629"/>
    <cellStyle name="Normal 31 4 3 3 3 3 3" xfId="10115"/>
    <cellStyle name="Normal 31 4 3 3 3 4" xfId="5181"/>
    <cellStyle name="Normal 31 4 3 3 3 5" xfId="8873"/>
    <cellStyle name="Normal 31 4 3 3 4" xfId="1933"/>
    <cellStyle name="Normal 31 4 3 3 4 2" xfId="5793"/>
    <cellStyle name="Normal 31 4 3 3 4 3" xfId="10727"/>
    <cellStyle name="Normal 31 4 3 3 5" xfId="3160"/>
    <cellStyle name="Normal 31 4 3 3 5 2" xfId="7017"/>
    <cellStyle name="Normal 31 4 3 3 5 3" xfId="11933"/>
    <cellStyle name="Normal 31 4 3 3 6" xfId="4569"/>
    <cellStyle name="Normal 31 4 3 3 6 2" xfId="9485"/>
    <cellStyle name="Normal 31 4 3 3 7" xfId="8242"/>
    <cellStyle name="Normal 31 4 3 4" xfId="920"/>
    <cellStyle name="Normal 31 4 3 4 2" xfId="1535"/>
    <cellStyle name="Normal 31 4 3 4 2 2" xfId="2761"/>
    <cellStyle name="Normal 31 4 3 4 2 2 2" xfId="6621"/>
    <cellStyle name="Normal 31 4 3 4 2 2 3" xfId="11573"/>
    <cellStyle name="Normal 31 4 3 4 2 3" xfId="3989"/>
    <cellStyle name="Normal 31 4 3 4 2 3 2" xfId="7845"/>
    <cellStyle name="Normal 31 4 3 4 2 3 3" xfId="10331"/>
    <cellStyle name="Normal 31 4 3 4 2 4" xfId="5397"/>
    <cellStyle name="Normal 31 4 3 4 2 5" xfId="9089"/>
    <cellStyle name="Normal 31 4 3 4 3" xfId="2149"/>
    <cellStyle name="Normal 31 4 3 4 3 2" xfId="6009"/>
    <cellStyle name="Normal 31 4 3 4 3 3" xfId="10925"/>
    <cellStyle name="Normal 31 4 3 4 4" xfId="3377"/>
    <cellStyle name="Normal 31 4 3 4 4 2" xfId="7233"/>
    <cellStyle name="Normal 31 4 3 4 4 3" xfId="9683"/>
    <cellStyle name="Normal 31 4 3 4 5" xfId="4785"/>
    <cellStyle name="Normal 31 4 3 4 6" xfId="8440"/>
    <cellStyle name="Normal 31 4 3 5" xfId="1229"/>
    <cellStyle name="Normal 31 4 3 5 2" xfId="2455"/>
    <cellStyle name="Normal 31 4 3 5 2 2" xfId="6315"/>
    <cellStyle name="Normal 31 4 3 5 2 3" xfId="11267"/>
    <cellStyle name="Normal 31 4 3 5 3" xfId="3683"/>
    <cellStyle name="Normal 31 4 3 5 3 2" xfId="7539"/>
    <cellStyle name="Normal 31 4 3 5 3 3" xfId="10025"/>
    <cellStyle name="Normal 31 4 3 5 4" xfId="5091"/>
    <cellStyle name="Normal 31 4 3 5 5" xfId="8783"/>
    <cellStyle name="Normal 31 4 3 6" xfId="1843"/>
    <cellStyle name="Normal 31 4 3 6 2" xfId="5703"/>
    <cellStyle name="Normal 31 4 3 6 3" xfId="10637"/>
    <cellStyle name="Normal 31 4 3 7" xfId="3070"/>
    <cellStyle name="Normal 31 4 3 7 2" xfId="6927"/>
    <cellStyle name="Normal 31 4 3 7 3" xfId="11843"/>
    <cellStyle name="Normal 31 4 3 8" xfId="4479"/>
    <cellStyle name="Normal 31 4 3 8 2" xfId="9395"/>
    <cellStyle name="Normal 31 4 3 9" xfId="8152"/>
    <cellStyle name="Normal 31 4 4" xfId="513"/>
    <cellStyle name="Normal 31 4 4 2" xfId="715"/>
    <cellStyle name="Normal 31 4 4 2 2" xfId="1065"/>
    <cellStyle name="Normal 31 4 4 2 2 2" xfId="1679"/>
    <cellStyle name="Normal 31 4 4 2 2 2 2" xfId="2905"/>
    <cellStyle name="Normal 31 4 4 2 2 2 2 2" xfId="6765"/>
    <cellStyle name="Normal 31 4 4 2 2 2 2 3" xfId="11717"/>
    <cellStyle name="Normal 31 4 4 2 2 2 3" xfId="4133"/>
    <cellStyle name="Normal 31 4 4 2 2 2 3 2" xfId="7989"/>
    <cellStyle name="Normal 31 4 4 2 2 2 3 3" xfId="10475"/>
    <cellStyle name="Normal 31 4 4 2 2 2 4" xfId="5541"/>
    <cellStyle name="Normal 31 4 4 2 2 2 5" xfId="9233"/>
    <cellStyle name="Normal 31 4 4 2 2 3" xfId="2293"/>
    <cellStyle name="Normal 31 4 4 2 2 3 2" xfId="6153"/>
    <cellStyle name="Normal 31 4 4 2 2 3 3" xfId="11069"/>
    <cellStyle name="Normal 31 4 4 2 2 4" xfId="3521"/>
    <cellStyle name="Normal 31 4 4 2 2 4 2" xfId="7377"/>
    <cellStyle name="Normal 31 4 4 2 2 4 3" xfId="9827"/>
    <cellStyle name="Normal 31 4 4 2 2 5" xfId="4929"/>
    <cellStyle name="Normal 31 4 4 2 2 6" xfId="8584"/>
    <cellStyle name="Normal 31 4 4 2 3" xfId="1373"/>
    <cellStyle name="Normal 31 4 4 2 3 2" xfId="2599"/>
    <cellStyle name="Normal 31 4 4 2 3 2 2" xfId="6459"/>
    <cellStyle name="Normal 31 4 4 2 3 2 3" xfId="11411"/>
    <cellStyle name="Normal 31 4 4 2 3 3" xfId="3827"/>
    <cellStyle name="Normal 31 4 4 2 3 3 2" xfId="7683"/>
    <cellStyle name="Normal 31 4 4 2 3 3 3" xfId="10169"/>
    <cellStyle name="Normal 31 4 4 2 3 4" xfId="5235"/>
    <cellStyle name="Normal 31 4 4 2 3 5" xfId="8927"/>
    <cellStyle name="Normal 31 4 4 2 4" xfId="1987"/>
    <cellStyle name="Normal 31 4 4 2 4 2" xfId="5847"/>
    <cellStyle name="Normal 31 4 4 2 4 3" xfId="10781"/>
    <cellStyle name="Normal 31 4 4 2 5" xfId="3214"/>
    <cellStyle name="Normal 31 4 4 2 5 2" xfId="7071"/>
    <cellStyle name="Normal 31 4 4 2 5 3" xfId="11987"/>
    <cellStyle name="Normal 31 4 4 2 6" xfId="4623"/>
    <cellStyle name="Normal 31 4 4 2 6 2" xfId="9539"/>
    <cellStyle name="Normal 31 4 4 2 7" xfId="8296"/>
    <cellStyle name="Normal 31 4 4 3" xfId="625"/>
    <cellStyle name="Normal 31 4 4 3 2" xfId="975"/>
    <cellStyle name="Normal 31 4 4 3 2 2" xfId="1589"/>
    <cellStyle name="Normal 31 4 4 3 2 2 2" xfId="2815"/>
    <cellStyle name="Normal 31 4 4 3 2 2 2 2" xfId="6675"/>
    <cellStyle name="Normal 31 4 4 3 2 2 2 3" xfId="11627"/>
    <cellStyle name="Normal 31 4 4 3 2 2 3" xfId="4043"/>
    <cellStyle name="Normal 31 4 4 3 2 2 3 2" xfId="7899"/>
    <cellStyle name="Normal 31 4 4 3 2 2 3 3" xfId="10385"/>
    <cellStyle name="Normal 31 4 4 3 2 2 4" xfId="5451"/>
    <cellStyle name="Normal 31 4 4 3 2 2 5" xfId="9143"/>
    <cellStyle name="Normal 31 4 4 3 2 3" xfId="2203"/>
    <cellStyle name="Normal 31 4 4 3 2 3 2" xfId="6063"/>
    <cellStyle name="Normal 31 4 4 3 2 3 3" xfId="10979"/>
    <cellStyle name="Normal 31 4 4 3 2 4" xfId="3431"/>
    <cellStyle name="Normal 31 4 4 3 2 4 2" xfId="7287"/>
    <cellStyle name="Normal 31 4 4 3 2 4 3" xfId="9737"/>
    <cellStyle name="Normal 31 4 4 3 2 5" xfId="4839"/>
    <cellStyle name="Normal 31 4 4 3 2 6" xfId="8494"/>
    <cellStyle name="Normal 31 4 4 3 3" xfId="1283"/>
    <cellStyle name="Normal 31 4 4 3 3 2" xfId="2509"/>
    <cellStyle name="Normal 31 4 4 3 3 2 2" xfId="6369"/>
    <cellStyle name="Normal 31 4 4 3 3 2 3" xfId="11321"/>
    <cellStyle name="Normal 31 4 4 3 3 3" xfId="3737"/>
    <cellStyle name="Normal 31 4 4 3 3 3 2" xfId="7593"/>
    <cellStyle name="Normal 31 4 4 3 3 3 3" xfId="10079"/>
    <cellStyle name="Normal 31 4 4 3 3 4" xfId="5145"/>
    <cellStyle name="Normal 31 4 4 3 3 5" xfId="8837"/>
    <cellStyle name="Normal 31 4 4 3 4" xfId="1897"/>
    <cellStyle name="Normal 31 4 4 3 4 2" xfId="5757"/>
    <cellStyle name="Normal 31 4 4 3 4 3" xfId="10691"/>
    <cellStyle name="Normal 31 4 4 3 5" xfId="3124"/>
    <cellStyle name="Normal 31 4 4 3 5 2" xfId="6981"/>
    <cellStyle name="Normal 31 4 4 3 5 3" xfId="11897"/>
    <cellStyle name="Normal 31 4 4 3 6" xfId="4533"/>
    <cellStyle name="Normal 31 4 4 3 6 2" xfId="9449"/>
    <cellStyle name="Normal 31 4 4 3 7" xfId="8206"/>
    <cellStyle name="Normal 31 4 4 4" xfId="863"/>
    <cellStyle name="Normal 31 4 4 4 2" xfId="1499"/>
    <cellStyle name="Normal 31 4 4 4 2 2" xfId="2725"/>
    <cellStyle name="Normal 31 4 4 4 2 2 2" xfId="6585"/>
    <cellStyle name="Normal 31 4 4 4 2 2 3" xfId="11537"/>
    <cellStyle name="Normal 31 4 4 4 2 3" xfId="3953"/>
    <cellStyle name="Normal 31 4 4 4 2 3 2" xfId="7809"/>
    <cellStyle name="Normal 31 4 4 4 2 3 3" xfId="10295"/>
    <cellStyle name="Normal 31 4 4 4 2 4" xfId="5361"/>
    <cellStyle name="Normal 31 4 4 4 2 5" xfId="9053"/>
    <cellStyle name="Normal 31 4 4 4 3" xfId="2113"/>
    <cellStyle name="Normal 31 4 4 4 3 2" xfId="5973"/>
    <cellStyle name="Normal 31 4 4 4 3 3" xfId="10889"/>
    <cellStyle name="Normal 31 4 4 4 4" xfId="3341"/>
    <cellStyle name="Normal 31 4 4 4 4 2" xfId="7197"/>
    <cellStyle name="Normal 31 4 4 4 4 3" xfId="9647"/>
    <cellStyle name="Normal 31 4 4 4 5" xfId="4749"/>
    <cellStyle name="Normal 31 4 4 4 6" xfId="8404"/>
    <cellStyle name="Normal 31 4 4 5" xfId="1193"/>
    <cellStyle name="Normal 31 4 4 5 2" xfId="2419"/>
    <cellStyle name="Normal 31 4 4 5 2 2" xfId="6279"/>
    <cellStyle name="Normal 31 4 4 5 2 3" xfId="11231"/>
    <cellStyle name="Normal 31 4 4 5 3" xfId="3647"/>
    <cellStyle name="Normal 31 4 4 5 3 2" xfId="7503"/>
    <cellStyle name="Normal 31 4 4 5 3 3" xfId="9989"/>
    <cellStyle name="Normal 31 4 4 5 4" xfId="5055"/>
    <cellStyle name="Normal 31 4 4 5 5" xfId="8747"/>
    <cellStyle name="Normal 31 4 4 6" xfId="1807"/>
    <cellStyle name="Normal 31 4 4 6 2" xfId="5667"/>
    <cellStyle name="Normal 31 4 4 6 3" xfId="10601"/>
    <cellStyle name="Normal 31 4 4 7" xfId="3034"/>
    <cellStyle name="Normal 31 4 4 7 2" xfId="6891"/>
    <cellStyle name="Normal 31 4 4 7 3" xfId="11807"/>
    <cellStyle name="Normal 31 4 4 8" xfId="4443"/>
    <cellStyle name="Normal 31 4 4 8 2" xfId="9359"/>
    <cellStyle name="Normal 31 4 4 9" xfId="8116"/>
    <cellStyle name="Normal 31 4 5" xfId="697"/>
    <cellStyle name="Normal 31 4 5 2" xfId="1047"/>
    <cellStyle name="Normal 31 4 5 2 2" xfId="1661"/>
    <cellStyle name="Normal 31 4 5 2 2 2" xfId="2887"/>
    <cellStyle name="Normal 31 4 5 2 2 2 2" xfId="6747"/>
    <cellStyle name="Normal 31 4 5 2 2 2 3" xfId="11699"/>
    <cellStyle name="Normal 31 4 5 2 2 3" xfId="4115"/>
    <cellStyle name="Normal 31 4 5 2 2 3 2" xfId="7971"/>
    <cellStyle name="Normal 31 4 5 2 2 3 3" xfId="10457"/>
    <cellStyle name="Normal 31 4 5 2 2 4" xfId="5523"/>
    <cellStyle name="Normal 31 4 5 2 2 5" xfId="9215"/>
    <cellStyle name="Normal 31 4 5 2 3" xfId="2275"/>
    <cellStyle name="Normal 31 4 5 2 3 2" xfId="6135"/>
    <cellStyle name="Normal 31 4 5 2 3 3" xfId="11051"/>
    <cellStyle name="Normal 31 4 5 2 4" xfId="3503"/>
    <cellStyle name="Normal 31 4 5 2 4 2" xfId="7359"/>
    <cellStyle name="Normal 31 4 5 2 4 3" xfId="9809"/>
    <cellStyle name="Normal 31 4 5 2 5" xfId="4911"/>
    <cellStyle name="Normal 31 4 5 2 6" xfId="8566"/>
    <cellStyle name="Normal 31 4 5 3" xfId="1355"/>
    <cellStyle name="Normal 31 4 5 3 2" xfId="2581"/>
    <cellStyle name="Normal 31 4 5 3 2 2" xfId="6441"/>
    <cellStyle name="Normal 31 4 5 3 2 3" xfId="11393"/>
    <cellStyle name="Normal 31 4 5 3 3" xfId="3809"/>
    <cellStyle name="Normal 31 4 5 3 3 2" xfId="7665"/>
    <cellStyle name="Normal 31 4 5 3 3 3" xfId="10151"/>
    <cellStyle name="Normal 31 4 5 3 4" xfId="5217"/>
    <cellStyle name="Normal 31 4 5 3 5" xfId="8909"/>
    <cellStyle name="Normal 31 4 5 4" xfId="1969"/>
    <cellStyle name="Normal 31 4 5 4 2" xfId="5829"/>
    <cellStyle name="Normal 31 4 5 4 3" xfId="10763"/>
    <cellStyle name="Normal 31 4 5 5" xfId="3196"/>
    <cellStyle name="Normal 31 4 5 5 2" xfId="7053"/>
    <cellStyle name="Normal 31 4 5 5 3" xfId="11969"/>
    <cellStyle name="Normal 31 4 5 6" xfId="4605"/>
    <cellStyle name="Normal 31 4 5 6 2" xfId="9521"/>
    <cellStyle name="Normal 31 4 5 7" xfId="8278"/>
    <cellStyle name="Normal 31 4 6" xfId="607"/>
    <cellStyle name="Normal 31 4 6 2" xfId="957"/>
    <cellStyle name="Normal 31 4 6 2 2" xfId="1571"/>
    <cellStyle name="Normal 31 4 6 2 2 2" xfId="2797"/>
    <cellStyle name="Normal 31 4 6 2 2 2 2" xfId="6657"/>
    <cellStyle name="Normal 31 4 6 2 2 2 3" xfId="11609"/>
    <cellStyle name="Normal 31 4 6 2 2 3" xfId="4025"/>
    <cellStyle name="Normal 31 4 6 2 2 3 2" xfId="7881"/>
    <cellStyle name="Normal 31 4 6 2 2 3 3" xfId="10367"/>
    <cellStyle name="Normal 31 4 6 2 2 4" xfId="5433"/>
    <cellStyle name="Normal 31 4 6 2 2 5" xfId="9125"/>
    <cellStyle name="Normal 31 4 6 2 3" xfId="2185"/>
    <cellStyle name="Normal 31 4 6 2 3 2" xfId="6045"/>
    <cellStyle name="Normal 31 4 6 2 3 3" xfId="10961"/>
    <cellStyle name="Normal 31 4 6 2 4" xfId="3413"/>
    <cellStyle name="Normal 31 4 6 2 4 2" xfId="7269"/>
    <cellStyle name="Normal 31 4 6 2 4 3" xfId="9719"/>
    <cellStyle name="Normal 31 4 6 2 5" xfId="4821"/>
    <cellStyle name="Normal 31 4 6 2 6" xfId="8476"/>
    <cellStyle name="Normal 31 4 6 3" xfId="1265"/>
    <cellStyle name="Normal 31 4 6 3 2" xfId="2491"/>
    <cellStyle name="Normal 31 4 6 3 2 2" xfId="6351"/>
    <cellStyle name="Normal 31 4 6 3 2 3" xfId="11303"/>
    <cellStyle name="Normal 31 4 6 3 3" xfId="3719"/>
    <cellStyle name="Normal 31 4 6 3 3 2" xfId="7575"/>
    <cellStyle name="Normal 31 4 6 3 3 3" xfId="10061"/>
    <cellStyle name="Normal 31 4 6 3 4" xfId="5127"/>
    <cellStyle name="Normal 31 4 6 3 5" xfId="8819"/>
    <cellStyle name="Normal 31 4 6 4" xfId="1879"/>
    <cellStyle name="Normal 31 4 6 4 2" xfId="5739"/>
    <cellStyle name="Normal 31 4 6 4 3" xfId="10673"/>
    <cellStyle name="Normal 31 4 6 5" xfId="3106"/>
    <cellStyle name="Normal 31 4 6 5 2" xfId="6963"/>
    <cellStyle name="Normal 31 4 6 5 3" xfId="11879"/>
    <cellStyle name="Normal 31 4 6 6" xfId="4515"/>
    <cellStyle name="Normal 31 4 6 6 2" xfId="9431"/>
    <cellStyle name="Normal 31 4 6 7" xfId="8188"/>
    <cellStyle name="Normal 31 4 7" xfId="493"/>
    <cellStyle name="Normal 31 4 7 2" xfId="843"/>
    <cellStyle name="Normal 31 4 7 2 2" xfId="1481"/>
    <cellStyle name="Normal 31 4 7 2 2 2" xfId="2707"/>
    <cellStyle name="Normal 31 4 7 2 2 2 2" xfId="6567"/>
    <cellStyle name="Normal 31 4 7 2 2 2 3" xfId="11519"/>
    <cellStyle name="Normal 31 4 7 2 2 3" xfId="3935"/>
    <cellStyle name="Normal 31 4 7 2 2 3 2" xfId="7791"/>
    <cellStyle name="Normal 31 4 7 2 2 3 3" xfId="10277"/>
    <cellStyle name="Normal 31 4 7 2 2 4" xfId="5343"/>
    <cellStyle name="Normal 31 4 7 2 2 5" xfId="9035"/>
    <cellStyle name="Normal 31 4 7 2 3" xfId="2095"/>
    <cellStyle name="Normal 31 4 7 2 3 2" xfId="5955"/>
    <cellStyle name="Normal 31 4 7 2 3 3" xfId="10871"/>
    <cellStyle name="Normal 31 4 7 2 4" xfId="3323"/>
    <cellStyle name="Normal 31 4 7 2 4 2" xfId="7179"/>
    <cellStyle name="Normal 31 4 7 2 4 3" xfId="9629"/>
    <cellStyle name="Normal 31 4 7 2 5" xfId="4731"/>
    <cellStyle name="Normal 31 4 7 2 6" xfId="8386"/>
    <cellStyle name="Normal 31 4 7 3" xfId="1175"/>
    <cellStyle name="Normal 31 4 7 3 2" xfId="2401"/>
    <cellStyle name="Normal 31 4 7 3 2 2" xfId="6261"/>
    <cellStyle name="Normal 31 4 7 3 2 3" xfId="11213"/>
    <cellStyle name="Normal 31 4 7 3 3" xfId="3629"/>
    <cellStyle name="Normal 31 4 7 3 3 2" xfId="7485"/>
    <cellStyle name="Normal 31 4 7 3 3 3" xfId="9971"/>
    <cellStyle name="Normal 31 4 7 3 4" xfId="5037"/>
    <cellStyle name="Normal 31 4 7 3 5" xfId="8729"/>
    <cellStyle name="Normal 31 4 7 4" xfId="1789"/>
    <cellStyle name="Normal 31 4 7 4 2" xfId="5649"/>
    <cellStyle name="Normal 31 4 7 4 3" xfId="10583"/>
    <cellStyle name="Normal 31 4 7 5" xfId="3016"/>
    <cellStyle name="Normal 31 4 7 5 2" xfId="6873"/>
    <cellStyle name="Normal 31 4 7 5 3" xfId="12059"/>
    <cellStyle name="Normal 31 4 7 6" xfId="4425"/>
    <cellStyle name="Normal 31 4 7 6 2" xfId="9341"/>
    <cellStyle name="Normal 31 4 7 7" xfId="8098"/>
    <cellStyle name="Normal 31 4 8" xfId="805"/>
    <cellStyle name="Normal 31 4 8 2" xfId="1445"/>
    <cellStyle name="Normal 31 4 8 2 2" xfId="2671"/>
    <cellStyle name="Normal 31 4 8 2 2 2" xfId="6531"/>
    <cellStyle name="Normal 31 4 8 2 2 3" xfId="11483"/>
    <cellStyle name="Normal 31 4 8 2 3" xfId="3899"/>
    <cellStyle name="Normal 31 4 8 2 3 2" xfId="7755"/>
    <cellStyle name="Normal 31 4 8 2 3 3" xfId="10241"/>
    <cellStyle name="Normal 31 4 8 2 4" xfId="5307"/>
    <cellStyle name="Normal 31 4 8 2 5" xfId="8999"/>
    <cellStyle name="Normal 31 4 8 3" xfId="2059"/>
    <cellStyle name="Normal 31 4 8 3 2" xfId="5919"/>
    <cellStyle name="Normal 31 4 8 3 3" xfId="10853"/>
    <cellStyle name="Normal 31 4 8 4" xfId="3287"/>
    <cellStyle name="Normal 31 4 8 4 2" xfId="7143"/>
    <cellStyle name="Normal 31 4 8 4 3" xfId="9611"/>
    <cellStyle name="Normal 31 4 8 5" xfId="4695"/>
    <cellStyle name="Normal 31 4 8 6" xfId="8368"/>
    <cellStyle name="Normal 31 4 9" xfId="1139"/>
    <cellStyle name="Normal 31 4 9 2" xfId="2365"/>
    <cellStyle name="Normal 31 4 9 2 2" xfId="6225"/>
    <cellStyle name="Normal 31 4 9 2 3" xfId="11177"/>
    <cellStyle name="Normal 31 4 9 3" xfId="3593"/>
    <cellStyle name="Normal 31 4 9 3 2" xfId="7449"/>
    <cellStyle name="Normal 31 4 9 3 3" xfId="9935"/>
    <cellStyle name="Normal 31 4 9 4" xfId="5001"/>
    <cellStyle name="Normal 31 4 9 5" xfId="8693"/>
    <cellStyle name="Normal 31 5" xfId="468"/>
    <cellStyle name="Normal 31 5 10" xfId="4400"/>
    <cellStyle name="Normal 31 5 10 2" xfId="9316"/>
    <cellStyle name="Normal 31 5 11" xfId="8073"/>
    <cellStyle name="Normal 31 5 2" xfId="581"/>
    <cellStyle name="Normal 31 5 2 2" xfId="762"/>
    <cellStyle name="Normal 31 5 2 2 2" xfId="1112"/>
    <cellStyle name="Normal 31 5 2 2 2 2" xfId="1726"/>
    <cellStyle name="Normal 31 5 2 2 2 2 2" xfId="2952"/>
    <cellStyle name="Normal 31 5 2 2 2 2 2 2" xfId="6812"/>
    <cellStyle name="Normal 31 5 2 2 2 2 2 3" xfId="11764"/>
    <cellStyle name="Normal 31 5 2 2 2 2 3" xfId="4180"/>
    <cellStyle name="Normal 31 5 2 2 2 2 3 2" xfId="8036"/>
    <cellStyle name="Normal 31 5 2 2 2 2 3 3" xfId="10522"/>
    <cellStyle name="Normal 31 5 2 2 2 2 4" xfId="5588"/>
    <cellStyle name="Normal 31 5 2 2 2 2 5" xfId="9280"/>
    <cellStyle name="Normal 31 5 2 2 2 3" xfId="2340"/>
    <cellStyle name="Normal 31 5 2 2 2 3 2" xfId="6200"/>
    <cellStyle name="Normal 31 5 2 2 2 3 3" xfId="11116"/>
    <cellStyle name="Normal 31 5 2 2 2 4" xfId="3568"/>
    <cellStyle name="Normal 31 5 2 2 2 4 2" xfId="7424"/>
    <cellStyle name="Normal 31 5 2 2 2 4 3" xfId="9874"/>
    <cellStyle name="Normal 31 5 2 2 2 5" xfId="4976"/>
    <cellStyle name="Normal 31 5 2 2 2 6" xfId="8631"/>
    <cellStyle name="Normal 31 5 2 2 3" xfId="1420"/>
    <cellStyle name="Normal 31 5 2 2 3 2" xfId="2646"/>
    <cellStyle name="Normal 31 5 2 2 3 2 2" xfId="6506"/>
    <cellStyle name="Normal 31 5 2 2 3 2 3" xfId="11458"/>
    <cellStyle name="Normal 31 5 2 2 3 3" xfId="3874"/>
    <cellStyle name="Normal 31 5 2 2 3 3 2" xfId="7730"/>
    <cellStyle name="Normal 31 5 2 2 3 3 3" xfId="10216"/>
    <cellStyle name="Normal 31 5 2 2 3 4" xfId="5282"/>
    <cellStyle name="Normal 31 5 2 2 3 5" xfId="8974"/>
    <cellStyle name="Normal 31 5 2 2 4" xfId="2034"/>
    <cellStyle name="Normal 31 5 2 2 4 2" xfId="5894"/>
    <cellStyle name="Normal 31 5 2 2 4 3" xfId="10828"/>
    <cellStyle name="Normal 31 5 2 2 5" xfId="3261"/>
    <cellStyle name="Normal 31 5 2 2 5 2" xfId="7118"/>
    <cellStyle name="Normal 31 5 2 2 5 3" xfId="12034"/>
    <cellStyle name="Normal 31 5 2 2 6" xfId="4670"/>
    <cellStyle name="Normal 31 5 2 2 6 2" xfId="9586"/>
    <cellStyle name="Normal 31 5 2 2 7" xfId="8343"/>
    <cellStyle name="Normal 31 5 2 3" xfId="672"/>
    <cellStyle name="Normal 31 5 2 3 2" xfId="1022"/>
    <cellStyle name="Normal 31 5 2 3 2 2" xfId="1636"/>
    <cellStyle name="Normal 31 5 2 3 2 2 2" xfId="2862"/>
    <cellStyle name="Normal 31 5 2 3 2 2 2 2" xfId="6722"/>
    <cellStyle name="Normal 31 5 2 3 2 2 2 3" xfId="11674"/>
    <cellStyle name="Normal 31 5 2 3 2 2 3" xfId="4090"/>
    <cellStyle name="Normal 31 5 2 3 2 2 3 2" xfId="7946"/>
    <cellStyle name="Normal 31 5 2 3 2 2 3 3" xfId="10432"/>
    <cellStyle name="Normal 31 5 2 3 2 2 4" xfId="5498"/>
    <cellStyle name="Normal 31 5 2 3 2 2 5" xfId="9190"/>
    <cellStyle name="Normal 31 5 2 3 2 3" xfId="2250"/>
    <cellStyle name="Normal 31 5 2 3 2 3 2" xfId="6110"/>
    <cellStyle name="Normal 31 5 2 3 2 3 3" xfId="11026"/>
    <cellStyle name="Normal 31 5 2 3 2 4" xfId="3478"/>
    <cellStyle name="Normal 31 5 2 3 2 4 2" xfId="7334"/>
    <cellStyle name="Normal 31 5 2 3 2 4 3" xfId="9784"/>
    <cellStyle name="Normal 31 5 2 3 2 5" xfId="4886"/>
    <cellStyle name="Normal 31 5 2 3 2 6" xfId="8541"/>
    <cellStyle name="Normal 31 5 2 3 3" xfId="1330"/>
    <cellStyle name="Normal 31 5 2 3 3 2" xfId="2556"/>
    <cellStyle name="Normal 31 5 2 3 3 2 2" xfId="6416"/>
    <cellStyle name="Normal 31 5 2 3 3 2 3" xfId="11368"/>
    <cellStyle name="Normal 31 5 2 3 3 3" xfId="3784"/>
    <cellStyle name="Normal 31 5 2 3 3 3 2" xfId="7640"/>
    <cellStyle name="Normal 31 5 2 3 3 3 3" xfId="10126"/>
    <cellStyle name="Normal 31 5 2 3 3 4" xfId="5192"/>
    <cellStyle name="Normal 31 5 2 3 3 5" xfId="8884"/>
    <cellStyle name="Normal 31 5 2 3 4" xfId="1944"/>
    <cellStyle name="Normal 31 5 2 3 4 2" xfId="5804"/>
    <cellStyle name="Normal 31 5 2 3 4 3" xfId="10738"/>
    <cellStyle name="Normal 31 5 2 3 5" xfId="3171"/>
    <cellStyle name="Normal 31 5 2 3 5 2" xfId="7028"/>
    <cellStyle name="Normal 31 5 2 3 5 3" xfId="11944"/>
    <cellStyle name="Normal 31 5 2 3 6" xfId="4580"/>
    <cellStyle name="Normal 31 5 2 3 6 2" xfId="9496"/>
    <cellStyle name="Normal 31 5 2 3 7" xfId="8253"/>
    <cellStyle name="Normal 31 5 2 4" xfId="931"/>
    <cellStyle name="Normal 31 5 2 4 2" xfId="1546"/>
    <cellStyle name="Normal 31 5 2 4 2 2" xfId="2772"/>
    <cellStyle name="Normal 31 5 2 4 2 2 2" xfId="6632"/>
    <cellStyle name="Normal 31 5 2 4 2 2 3" xfId="11584"/>
    <cellStyle name="Normal 31 5 2 4 2 3" xfId="4000"/>
    <cellStyle name="Normal 31 5 2 4 2 3 2" xfId="7856"/>
    <cellStyle name="Normal 31 5 2 4 2 3 3" xfId="10342"/>
    <cellStyle name="Normal 31 5 2 4 2 4" xfId="5408"/>
    <cellStyle name="Normal 31 5 2 4 2 5" xfId="9100"/>
    <cellStyle name="Normal 31 5 2 4 3" xfId="2160"/>
    <cellStyle name="Normal 31 5 2 4 3 2" xfId="6020"/>
    <cellStyle name="Normal 31 5 2 4 3 3" xfId="10936"/>
    <cellStyle name="Normal 31 5 2 4 4" xfId="3388"/>
    <cellStyle name="Normal 31 5 2 4 4 2" xfId="7244"/>
    <cellStyle name="Normal 31 5 2 4 4 3" xfId="9694"/>
    <cellStyle name="Normal 31 5 2 4 5" xfId="4796"/>
    <cellStyle name="Normal 31 5 2 4 6" xfId="8451"/>
    <cellStyle name="Normal 31 5 2 5" xfId="1240"/>
    <cellStyle name="Normal 31 5 2 5 2" xfId="2466"/>
    <cellStyle name="Normal 31 5 2 5 2 2" xfId="6326"/>
    <cellStyle name="Normal 31 5 2 5 2 3" xfId="11278"/>
    <cellStyle name="Normal 31 5 2 5 3" xfId="3694"/>
    <cellStyle name="Normal 31 5 2 5 3 2" xfId="7550"/>
    <cellStyle name="Normal 31 5 2 5 3 3" xfId="10036"/>
    <cellStyle name="Normal 31 5 2 5 4" xfId="5102"/>
    <cellStyle name="Normal 31 5 2 5 5" xfId="8794"/>
    <cellStyle name="Normal 31 5 2 6" xfId="1854"/>
    <cellStyle name="Normal 31 5 2 6 2" xfId="5714"/>
    <cellStyle name="Normal 31 5 2 6 3" xfId="10648"/>
    <cellStyle name="Normal 31 5 2 7" xfId="3081"/>
    <cellStyle name="Normal 31 5 2 7 2" xfId="6938"/>
    <cellStyle name="Normal 31 5 2 7 3" xfId="11854"/>
    <cellStyle name="Normal 31 5 2 8" xfId="4490"/>
    <cellStyle name="Normal 31 5 2 8 2" xfId="9406"/>
    <cellStyle name="Normal 31 5 2 9" xfId="8163"/>
    <cellStyle name="Normal 31 5 3" xfId="726"/>
    <cellStyle name="Normal 31 5 3 2" xfId="1076"/>
    <cellStyle name="Normal 31 5 3 2 2" xfId="1690"/>
    <cellStyle name="Normal 31 5 3 2 2 2" xfId="2916"/>
    <cellStyle name="Normal 31 5 3 2 2 2 2" xfId="6776"/>
    <cellStyle name="Normal 31 5 3 2 2 2 3" xfId="11728"/>
    <cellStyle name="Normal 31 5 3 2 2 3" xfId="4144"/>
    <cellStyle name="Normal 31 5 3 2 2 3 2" xfId="8000"/>
    <cellStyle name="Normal 31 5 3 2 2 3 3" xfId="10486"/>
    <cellStyle name="Normal 31 5 3 2 2 4" xfId="5552"/>
    <cellStyle name="Normal 31 5 3 2 2 5" xfId="9244"/>
    <cellStyle name="Normal 31 5 3 2 3" xfId="2304"/>
    <cellStyle name="Normal 31 5 3 2 3 2" xfId="6164"/>
    <cellStyle name="Normal 31 5 3 2 3 3" xfId="11080"/>
    <cellStyle name="Normal 31 5 3 2 4" xfId="3532"/>
    <cellStyle name="Normal 31 5 3 2 4 2" xfId="7388"/>
    <cellStyle name="Normal 31 5 3 2 4 3" xfId="9838"/>
    <cellStyle name="Normal 31 5 3 2 5" xfId="4940"/>
    <cellStyle name="Normal 31 5 3 2 6" xfId="8595"/>
    <cellStyle name="Normal 31 5 3 3" xfId="1384"/>
    <cellStyle name="Normal 31 5 3 3 2" xfId="2610"/>
    <cellStyle name="Normal 31 5 3 3 2 2" xfId="6470"/>
    <cellStyle name="Normal 31 5 3 3 2 3" xfId="11422"/>
    <cellStyle name="Normal 31 5 3 3 3" xfId="3838"/>
    <cellStyle name="Normal 31 5 3 3 3 2" xfId="7694"/>
    <cellStyle name="Normal 31 5 3 3 3 3" xfId="10180"/>
    <cellStyle name="Normal 31 5 3 3 4" xfId="5246"/>
    <cellStyle name="Normal 31 5 3 3 5" xfId="8938"/>
    <cellStyle name="Normal 31 5 3 4" xfId="1998"/>
    <cellStyle name="Normal 31 5 3 4 2" xfId="5858"/>
    <cellStyle name="Normal 31 5 3 4 3" xfId="10792"/>
    <cellStyle name="Normal 31 5 3 5" xfId="3225"/>
    <cellStyle name="Normal 31 5 3 5 2" xfId="7082"/>
    <cellStyle name="Normal 31 5 3 5 3" xfId="11998"/>
    <cellStyle name="Normal 31 5 3 6" xfId="4634"/>
    <cellStyle name="Normal 31 5 3 6 2" xfId="9550"/>
    <cellStyle name="Normal 31 5 3 7" xfId="8307"/>
    <cellStyle name="Normal 31 5 4" xfId="636"/>
    <cellStyle name="Normal 31 5 4 2" xfId="986"/>
    <cellStyle name="Normal 31 5 4 2 2" xfId="1600"/>
    <cellStyle name="Normal 31 5 4 2 2 2" xfId="2826"/>
    <cellStyle name="Normal 31 5 4 2 2 2 2" xfId="6686"/>
    <cellStyle name="Normal 31 5 4 2 2 2 3" xfId="11638"/>
    <cellStyle name="Normal 31 5 4 2 2 3" xfId="4054"/>
    <cellStyle name="Normal 31 5 4 2 2 3 2" xfId="7910"/>
    <cellStyle name="Normal 31 5 4 2 2 3 3" xfId="10396"/>
    <cellStyle name="Normal 31 5 4 2 2 4" xfId="5462"/>
    <cellStyle name="Normal 31 5 4 2 2 5" xfId="9154"/>
    <cellStyle name="Normal 31 5 4 2 3" xfId="2214"/>
    <cellStyle name="Normal 31 5 4 2 3 2" xfId="6074"/>
    <cellStyle name="Normal 31 5 4 2 3 3" xfId="10990"/>
    <cellStyle name="Normal 31 5 4 2 4" xfId="3442"/>
    <cellStyle name="Normal 31 5 4 2 4 2" xfId="7298"/>
    <cellStyle name="Normal 31 5 4 2 4 3" xfId="9748"/>
    <cellStyle name="Normal 31 5 4 2 5" xfId="4850"/>
    <cellStyle name="Normal 31 5 4 2 6" xfId="8505"/>
    <cellStyle name="Normal 31 5 4 3" xfId="1294"/>
    <cellStyle name="Normal 31 5 4 3 2" xfId="2520"/>
    <cellStyle name="Normal 31 5 4 3 2 2" xfId="6380"/>
    <cellStyle name="Normal 31 5 4 3 2 3" xfId="11332"/>
    <cellStyle name="Normal 31 5 4 3 3" xfId="3748"/>
    <cellStyle name="Normal 31 5 4 3 3 2" xfId="7604"/>
    <cellStyle name="Normal 31 5 4 3 3 3" xfId="10090"/>
    <cellStyle name="Normal 31 5 4 3 4" xfId="5156"/>
    <cellStyle name="Normal 31 5 4 3 5" xfId="8848"/>
    <cellStyle name="Normal 31 5 4 4" xfId="1908"/>
    <cellStyle name="Normal 31 5 4 4 2" xfId="5768"/>
    <cellStyle name="Normal 31 5 4 4 3" xfId="10702"/>
    <cellStyle name="Normal 31 5 4 5" xfId="3135"/>
    <cellStyle name="Normal 31 5 4 5 2" xfId="6992"/>
    <cellStyle name="Normal 31 5 4 5 3" xfId="11908"/>
    <cellStyle name="Normal 31 5 4 6" xfId="4544"/>
    <cellStyle name="Normal 31 5 4 6 2" xfId="9460"/>
    <cellStyle name="Normal 31 5 4 7" xfId="8217"/>
    <cellStyle name="Normal 31 5 5" xfId="542"/>
    <cellStyle name="Normal 31 5 5 2" xfId="892"/>
    <cellStyle name="Normal 31 5 5 2 2" xfId="1510"/>
    <cellStyle name="Normal 31 5 5 2 2 2" xfId="2736"/>
    <cellStyle name="Normal 31 5 5 2 2 2 2" xfId="6596"/>
    <cellStyle name="Normal 31 5 5 2 2 2 3" xfId="11548"/>
    <cellStyle name="Normal 31 5 5 2 2 3" xfId="3964"/>
    <cellStyle name="Normal 31 5 5 2 2 3 2" xfId="7820"/>
    <cellStyle name="Normal 31 5 5 2 2 3 3" xfId="10306"/>
    <cellStyle name="Normal 31 5 5 2 2 4" xfId="5372"/>
    <cellStyle name="Normal 31 5 5 2 2 5" xfId="9064"/>
    <cellStyle name="Normal 31 5 5 2 3" xfId="2124"/>
    <cellStyle name="Normal 31 5 5 2 3 2" xfId="5984"/>
    <cellStyle name="Normal 31 5 5 2 3 3" xfId="11152"/>
    <cellStyle name="Normal 31 5 5 2 4" xfId="3352"/>
    <cellStyle name="Normal 31 5 5 2 4 2" xfId="7208"/>
    <cellStyle name="Normal 31 5 5 2 4 3" xfId="9910"/>
    <cellStyle name="Normal 31 5 5 2 5" xfId="4760"/>
    <cellStyle name="Normal 31 5 5 2 6" xfId="8668"/>
    <cellStyle name="Normal 31 5 5 3" xfId="1204"/>
    <cellStyle name="Normal 31 5 5 3 2" xfId="2430"/>
    <cellStyle name="Normal 31 5 5 3 2 2" xfId="6290"/>
    <cellStyle name="Normal 31 5 5 3 2 3" xfId="11242"/>
    <cellStyle name="Normal 31 5 5 3 3" xfId="3658"/>
    <cellStyle name="Normal 31 5 5 3 3 2" xfId="7514"/>
    <cellStyle name="Normal 31 5 5 3 3 3" xfId="10000"/>
    <cellStyle name="Normal 31 5 5 3 4" xfId="5066"/>
    <cellStyle name="Normal 31 5 5 3 5" xfId="8758"/>
    <cellStyle name="Normal 31 5 5 4" xfId="1818"/>
    <cellStyle name="Normal 31 5 5 4 2" xfId="5678"/>
    <cellStyle name="Normal 31 5 5 4 2 2" xfId="11134"/>
    <cellStyle name="Normal 31 5 5 4 3" xfId="9892"/>
    <cellStyle name="Normal 31 5 5 4 4" xfId="8649"/>
    <cellStyle name="Normal 31 5 5 5" xfId="3045"/>
    <cellStyle name="Normal 31 5 5 5 2" xfId="6902"/>
    <cellStyle name="Normal 31 5 5 5 3" xfId="10612"/>
    <cellStyle name="Normal 31 5 5 6" xfId="4454"/>
    <cellStyle name="Normal 31 5 5 6 2" xfId="9370"/>
    <cellStyle name="Normal 31 5 5 7" xfId="8127"/>
    <cellStyle name="Normal 31 5 6" xfId="818"/>
    <cellStyle name="Normal 31 5 6 2" xfId="1456"/>
    <cellStyle name="Normal 31 5 6 2 2" xfId="2682"/>
    <cellStyle name="Normal 31 5 6 2 2 2" xfId="6542"/>
    <cellStyle name="Normal 31 5 6 2 2 3" xfId="11494"/>
    <cellStyle name="Normal 31 5 6 2 3" xfId="3910"/>
    <cellStyle name="Normal 31 5 6 2 3 2" xfId="7766"/>
    <cellStyle name="Normal 31 5 6 2 3 3" xfId="10252"/>
    <cellStyle name="Normal 31 5 6 2 4" xfId="5318"/>
    <cellStyle name="Normal 31 5 6 2 5" xfId="9010"/>
    <cellStyle name="Normal 31 5 6 3" xfId="2070"/>
    <cellStyle name="Normal 31 5 6 3 2" xfId="5930"/>
    <cellStyle name="Normal 31 5 6 3 3" xfId="10900"/>
    <cellStyle name="Normal 31 5 6 4" xfId="3298"/>
    <cellStyle name="Normal 31 5 6 4 2" xfId="7154"/>
    <cellStyle name="Normal 31 5 6 4 3" xfId="9658"/>
    <cellStyle name="Normal 31 5 6 5" xfId="4706"/>
    <cellStyle name="Normal 31 5 6 6" xfId="8415"/>
    <cellStyle name="Normal 31 5 7" xfId="1150"/>
    <cellStyle name="Normal 31 5 7 2" xfId="2376"/>
    <cellStyle name="Normal 31 5 7 2 2" xfId="6236"/>
    <cellStyle name="Normal 31 5 7 2 3" xfId="11188"/>
    <cellStyle name="Normal 31 5 7 3" xfId="3604"/>
    <cellStyle name="Normal 31 5 7 3 2" xfId="7460"/>
    <cellStyle name="Normal 31 5 7 3 3" xfId="9946"/>
    <cellStyle name="Normal 31 5 7 4" xfId="5012"/>
    <cellStyle name="Normal 31 5 7 5" xfId="8704"/>
    <cellStyle name="Normal 31 5 8" xfId="1764"/>
    <cellStyle name="Normal 31 5 8 2" xfId="5624"/>
    <cellStyle name="Normal 31 5 8 3" xfId="10558"/>
    <cellStyle name="Normal 31 5 9" xfId="2991"/>
    <cellStyle name="Normal 31 5 9 2" xfId="6848"/>
    <cellStyle name="Normal 31 5 9 3" xfId="11818"/>
    <cellStyle name="Normal 31 6" xfId="563"/>
    <cellStyle name="Normal 31 6 2" xfId="744"/>
    <cellStyle name="Normal 31 6 2 2" xfId="1094"/>
    <cellStyle name="Normal 31 6 2 2 2" xfId="1708"/>
    <cellStyle name="Normal 31 6 2 2 2 2" xfId="2934"/>
    <cellStyle name="Normal 31 6 2 2 2 2 2" xfId="6794"/>
    <cellStyle name="Normal 31 6 2 2 2 2 3" xfId="11746"/>
    <cellStyle name="Normal 31 6 2 2 2 3" xfId="4162"/>
    <cellStyle name="Normal 31 6 2 2 2 3 2" xfId="8018"/>
    <cellStyle name="Normal 31 6 2 2 2 3 3" xfId="10504"/>
    <cellStyle name="Normal 31 6 2 2 2 4" xfId="5570"/>
    <cellStyle name="Normal 31 6 2 2 2 5" xfId="9262"/>
    <cellStyle name="Normal 31 6 2 2 3" xfId="2322"/>
    <cellStyle name="Normal 31 6 2 2 3 2" xfId="6182"/>
    <cellStyle name="Normal 31 6 2 2 3 3" xfId="11098"/>
    <cellStyle name="Normal 31 6 2 2 4" xfId="3550"/>
    <cellStyle name="Normal 31 6 2 2 4 2" xfId="7406"/>
    <cellStyle name="Normal 31 6 2 2 4 3" xfId="9856"/>
    <cellStyle name="Normal 31 6 2 2 5" xfId="4958"/>
    <cellStyle name="Normal 31 6 2 2 6" xfId="8613"/>
    <cellStyle name="Normal 31 6 2 3" xfId="1402"/>
    <cellStyle name="Normal 31 6 2 3 2" xfId="2628"/>
    <cellStyle name="Normal 31 6 2 3 2 2" xfId="6488"/>
    <cellStyle name="Normal 31 6 2 3 2 3" xfId="11440"/>
    <cellStyle name="Normal 31 6 2 3 3" xfId="3856"/>
    <cellStyle name="Normal 31 6 2 3 3 2" xfId="7712"/>
    <cellStyle name="Normal 31 6 2 3 3 3" xfId="10198"/>
    <cellStyle name="Normal 31 6 2 3 4" xfId="5264"/>
    <cellStyle name="Normal 31 6 2 3 5" xfId="8956"/>
    <cellStyle name="Normal 31 6 2 4" xfId="2016"/>
    <cellStyle name="Normal 31 6 2 4 2" xfId="5876"/>
    <cellStyle name="Normal 31 6 2 4 3" xfId="10810"/>
    <cellStyle name="Normal 31 6 2 5" xfId="3243"/>
    <cellStyle name="Normal 31 6 2 5 2" xfId="7100"/>
    <cellStyle name="Normal 31 6 2 5 3" xfId="12016"/>
    <cellStyle name="Normal 31 6 2 6" xfId="4652"/>
    <cellStyle name="Normal 31 6 2 6 2" xfId="9568"/>
    <cellStyle name="Normal 31 6 2 7" xfId="8325"/>
    <cellStyle name="Normal 31 6 3" xfId="654"/>
    <cellStyle name="Normal 31 6 3 2" xfId="1004"/>
    <cellStyle name="Normal 31 6 3 2 2" xfId="1618"/>
    <cellStyle name="Normal 31 6 3 2 2 2" xfId="2844"/>
    <cellStyle name="Normal 31 6 3 2 2 2 2" xfId="6704"/>
    <cellStyle name="Normal 31 6 3 2 2 2 3" xfId="11656"/>
    <cellStyle name="Normal 31 6 3 2 2 3" xfId="4072"/>
    <cellStyle name="Normal 31 6 3 2 2 3 2" xfId="7928"/>
    <cellStyle name="Normal 31 6 3 2 2 3 3" xfId="10414"/>
    <cellStyle name="Normal 31 6 3 2 2 4" xfId="5480"/>
    <cellStyle name="Normal 31 6 3 2 2 5" xfId="9172"/>
    <cellStyle name="Normal 31 6 3 2 3" xfId="2232"/>
    <cellStyle name="Normal 31 6 3 2 3 2" xfId="6092"/>
    <cellStyle name="Normal 31 6 3 2 3 3" xfId="11008"/>
    <cellStyle name="Normal 31 6 3 2 4" xfId="3460"/>
    <cellStyle name="Normal 31 6 3 2 4 2" xfId="7316"/>
    <cellStyle name="Normal 31 6 3 2 4 3" xfId="9766"/>
    <cellStyle name="Normal 31 6 3 2 5" xfId="4868"/>
    <cellStyle name="Normal 31 6 3 2 6" xfId="8523"/>
    <cellStyle name="Normal 31 6 3 3" xfId="1312"/>
    <cellStyle name="Normal 31 6 3 3 2" xfId="2538"/>
    <cellStyle name="Normal 31 6 3 3 2 2" xfId="6398"/>
    <cellStyle name="Normal 31 6 3 3 2 3" xfId="11350"/>
    <cellStyle name="Normal 31 6 3 3 3" xfId="3766"/>
    <cellStyle name="Normal 31 6 3 3 3 2" xfId="7622"/>
    <cellStyle name="Normal 31 6 3 3 3 3" xfId="10108"/>
    <cellStyle name="Normal 31 6 3 3 4" xfId="5174"/>
    <cellStyle name="Normal 31 6 3 3 5" xfId="8866"/>
    <cellStyle name="Normal 31 6 3 4" xfId="1926"/>
    <cellStyle name="Normal 31 6 3 4 2" xfId="5786"/>
    <cellStyle name="Normal 31 6 3 4 3" xfId="10720"/>
    <cellStyle name="Normal 31 6 3 5" xfId="3153"/>
    <cellStyle name="Normal 31 6 3 5 2" xfId="7010"/>
    <cellStyle name="Normal 31 6 3 5 3" xfId="11926"/>
    <cellStyle name="Normal 31 6 3 6" xfId="4562"/>
    <cellStyle name="Normal 31 6 3 6 2" xfId="9478"/>
    <cellStyle name="Normal 31 6 3 7" xfId="8235"/>
    <cellStyle name="Normal 31 6 4" xfId="913"/>
    <cellStyle name="Normal 31 6 4 2" xfId="1528"/>
    <cellStyle name="Normal 31 6 4 2 2" xfId="2754"/>
    <cellStyle name="Normal 31 6 4 2 2 2" xfId="6614"/>
    <cellStyle name="Normal 31 6 4 2 2 3" xfId="11566"/>
    <cellStyle name="Normal 31 6 4 2 3" xfId="3982"/>
    <cellStyle name="Normal 31 6 4 2 3 2" xfId="7838"/>
    <cellStyle name="Normal 31 6 4 2 3 3" xfId="10324"/>
    <cellStyle name="Normal 31 6 4 2 4" xfId="5390"/>
    <cellStyle name="Normal 31 6 4 2 5" xfId="9082"/>
    <cellStyle name="Normal 31 6 4 3" xfId="2142"/>
    <cellStyle name="Normal 31 6 4 3 2" xfId="6002"/>
    <cellStyle name="Normal 31 6 4 3 3" xfId="10918"/>
    <cellStyle name="Normal 31 6 4 4" xfId="3370"/>
    <cellStyle name="Normal 31 6 4 4 2" xfId="7226"/>
    <cellStyle name="Normal 31 6 4 4 3" xfId="9676"/>
    <cellStyle name="Normal 31 6 4 5" xfId="4778"/>
    <cellStyle name="Normal 31 6 4 6" xfId="8433"/>
    <cellStyle name="Normal 31 6 5" xfId="1222"/>
    <cellStyle name="Normal 31 6 5 2" xfId="2448"/>
    <cellStyle name="Normal 31 6 5 2 2" xfId="6308"/>
    <cellStyle name="Normal 31 6 5 2 3" xfId="11260"/>
    <cellStyle name="Normal 31 6 5 3" xfId="3676"/>
    <cellStyle name="Normal 31 6 5 3 2" xfId="7532"/>
    <cellStyle name="Normal 31 6 5 3 3" xfId="10018"/>
    <cellStyle name="Normal 31 6 5 4" xfId="5084"/>
    <cellStyle name="Normal 31 6 5 5" xfId="8776"/>
    <cellStyle name="Normal 31 6 6" xfId="1836"/>
    <cellStyle name="Normal 31 6 6 2" xfId="5696"/>
    <cellStyle name="Normal 31 6 6 3" xfId="10630"/>
    <cellStyle name="Normal 31 6 7" xfId="3063"/>
    <cellStyle name="Normal 31 6 7 2" xfId="6920"/>
    <cellStyle name="Normal 31 6 7 3" xfId="11836"/>
    <cellStyle name="Normal 31 6 8" xfId="4472"/>
    <cellStyle name="Normal 31 6 8 2" xfId="9388"/>
    <cellStyle name="Normal 31 6 9" xfId="8145"/>
    <cellStyle name="Normal 31 7" xfId="506"/>
    <cellStyle name="Normal 31 7 2" xfId="708"/>
    <cellStyle name="Normal 31 7 2 2" xfId="1058"/>
    <cellStyle name="Normal 31 7 2 2 2" xfId="1672"/>
    <cellStyle name="Normal 31 7 2 2 2 2" xfId="2898"/>
    <cellStyle name="Normal 31 7 2 2 2 2 2" xfId="6758"/>
    <cellStyle name="Normal 31 7 2 2 2 2 3" xfId="11710"/>
    <cellStyle name="Normal 31 7 2 2 2 3" xfId="4126"/>
    <cellStyle name="Normal 31 7 2 2 2 3 2" xfId="7982"/>
    <cellStyle name="Normal 31 7 2 2 2 3 3" xfId="10468"/>
    <cellStyle name="Normal 31 7 2 2 2 4" xfId="5534"/>
    <cellStyle name="Normal 31 7 2 2 2 5" xfId="9226"/>
    <cellStyle name="Normal 31 7 2 2 3" xfId="2286"/>
    <cellStyle name="Normal 31 7 2 2 3 2" xfId="6146"/>
    <cellStyle name="Normal 31 7 2 2 3 3" xfId="11062"/>
    <cellStyle name="Normal 31 7 2 2 4" xfId="3514"/>
    <cellStyle name="Normal 31 7 2 2 4 2" xfId="7370"/>
    <cellStyle name="Normal 31 7 2 2 4 3" xfId="9820"/>
    <cellStyle name="Normal 31 7 2 2 5" xfId="4922"/>
    <cellStyle name="Normal 31 7 2 2 6" xfId="8577"/>
    <cellStyle name="Normal 31 7 2 3" xfId="1366"/>
    <cellStyle name="Normal 31 7 2 3 2" xfId="2592"/>
    <cellStyle name="Normal 31 7 2 3 2 2" xfId="6452"/>
    <cellStyle name="Normal 31 7 2 3 2 3" xfId="11404"/>
    <cellStyle name="Normal 31 7 2 3 3" xfId="3820"/>
    <cellStyle name="Normal 31 7 2 3 3 2" xfId="7676"/>
    <cellStyle name="Normal 31 7 2 3 3 3" xfId="10162"/>
    <cellStyle name="Normal 31 7 2 3 4" xfId="5228"/>
    <cellStyle name="Normal 31 7 2 3 5" xfId="8920"/>
    <cellStyle name="Normal 31 7 2 4" xfId="1980"/>
    <cellStyle name="Normal 31 7 2 4 2" xfId="5840"/>
    <cellStyle name="Normal 31 7 2 4 3" xfId="10774"/>
    <cellStyle name="Normal 31 7 2 5" xfId="3207"/>
    <cellStyle name="Normal 31 7 2 5 2" xfId="7064"/>
    <cellStyle name="Normal 31 7 2 5 3" xfId="11980"/>
    <cellStyle name="Normal 31 7 2 6" xfId="4616"/>
    <cellStyle name="Normal 31 7 2 6 2" xfId="9532"/>
    <cellStyle name="Normal 31 7 2 7" xfId="8289"/>
    <cellStyle name="Normal 31 7 3" xfId="618"/>
    <cellStyle name="Normal 31 7 3 2" xfId="968"/>
    <cellStyle name="Normal 31 7 3 2 2" xfId="1582"/>
    <cellStyle name="Normal 31 7 3 2 2 2" xfId="2808"/>
    <cellStyle name="Normal 31 7 3 2 2 2 2" xfId="6668"/>
    <cellStyle name="Normal 31 7 3 2 2 2 3" xfId="11620"/>
    <cellStyle name="Normal 31 7 3 2 2 3" xfId="4036"/>
    <cellStyle name="Normal 31 7 3 2 2 3 2" xfId="7892"/>
    <cellStyle name="Normal 31 7 3 2 2 3 3" xfId="10378"/>
    <cellStyle name="Normal 31 7 3 2 2 4" xfId="5444"/>
    <cellStyle name="Normal 31 7 3 2 2 5" xfId="9136"/>
    <cellStyle name="Normal 31 7 3 2 3" xfId="2196"/>
    <cellStyle name="Normal 31 7 3 2 3 2" xfId="6056"/>
    <cellStyle name="Normal 31 7 3 2 3 3" xfId="10972"/>
    <cellStyle name="Normal 31 7 3 2 4" xfId="3424"/>
    <cellStyle name="Normal 31 7 3 2 4 2" xfId="7280"/>
    <cellStyle name="Normal 31 7 3 2 4 3" xfId="9730"/>
    <cellStyle name="Normal 31 7 3 2 5" xfId="4832"/>
    <cellStyle name="Normal 31 7 3 2 6" xfId="8487"/>
    <cellStyle name="Normal 31 7 3 3" xfId="1276"/>
    <cellStyle name="Normal 31 7 3 3 2" xfId="2502"/>
    <cellStyle name="Normal 31 7 3 3 2 2" xfId="6362"/>
    <cellStyle name="Normal 31 7 3 3 2 3" xfId="11314"/>
    <cellStyle name="Normal 31 7 3 3 3" xfId="3730"/>
    <cellStyle name="Normal 31 7 3 3 3 2" xfId="7586"/>
    <cellStyle name="Normal 31 7 3 3 3 3" xfId="10072"/>
    <cellStyle name="Normal 31 7 3 3 4" xfId="5138"/>
    <cellStyle name="Normal 31 7 3 3 5" xfId="8830"/>
    <cellStyle name="Normal 31 7 3 4" xfId="1890"/>
    <cellStyle name="Normal 31 7 3 4 2" xfId="5750"/>
    <cellStyle name="Normal 31 7 3 4 3" xfId="10684"/>
    <cellStyle name="Normal 31 7 3 5" xfId="3117"/>
    <cellStyle name="Normal 31 7 3 5 2" xfId="6974"/>
    <cellStyle name="Normal 31 7 3 5 3" xfId="11890"/>
    <cellStyle name="Normal 31 7 3 6" xfId="4526"/>
    <cellStyle name="Normal 31 7 3 6 2" xfId="9442"/>
    <cellStyle name="Normal 31 7 3 7" xfId="8199"/>
    <cellStyle name="Normal 31 7 4" xfId="856"/>
    <cellStyle name="Normal 31 7 4 2" xfId="1492"/>
    <cellStyle name="Normal 31 7 4 2 2" xfId="2718"/>
    <cellStyle name="Normal 31 7 4 2 2 2" xfId="6578"/>
    <cellStyle name="Normal 31 7 4 2 2 3" xfId="11530"/>
    <cellStyle name="Normal 31 7 4 2 3" xfId="3946"/>
    <cellStyle name="Normal 31 7 4 2 3 2" xfId="7802"/>
    <cellStyle name="Normal 31 7 4 2 3 3" xfId="10288"/>
    <cellStyle name="Normal 31 7 4 2 4" xfId="5354"/>
    <cellStyle name="Normal 31 7 4 2 5" xfId="9046"/>
    <cellStyle name="Normal 31 7 4 3" xfId="2106"/>
    <cellStyle name="Normal 31 7 4 3 2" xfId="5966"/>
    <cellStyle name="Normal 31 7 4 3 3" xfId="10882"/>
    <cellStyle name="Normal 31 7 4 4" xfId="3334"/>
    <cellStyle name="Normal 31 7 4 4 2" xfId="7190"/>
    <cellStyle name="Normal 31 7 4 4 3" xfId="9640"/>
    <cellStyle name="Normal 31 7 4 5" xfId="4742"/>
    <cellStyle name="Normal 31 7 4 6" xfId="8397"/>
    <cellStyle name="Normal 31 7 5" xfId="1186"/>
    <cellStyle name="Normal 31 7 5 2" xfId="2412"/>
    <cellStyle name="Normal 31 7 5 2 2" xfId="6272"/>
    <cellStyle name="Normal 31 7 5 2 3" xfId="11224"/>
    <cellStyle name="Normal 31 7 5 3" xfId="3640"/>
    <cellStyle name="Normal 31 7 5 3 2" xfId="7496"/>
    <cellStyle name="Normal 31 7 5 3 3" xfId="9982"/>
    <cellStyle name="Normal 31 7 5 4" xfId="5048"/>
    <cellStyle name="Normal 31 7 5 5" xfId="8740"/>
    <cellStyle name="Normal 31 7 6" xfId="1800"/>
    <cellStyle name="Normal 31 7 6 2" xfId="5660"/>
    <cellStyle name="Normal 31 7 6 3" xfId="10594"/>
    <cellStyle name="Normal 31 7 7" xfId="3027"/>
    <cellStyle name="Normal 31 7 7 2" xfId="6884"/>
    <cellStyle name="Normal 31 7 7 3" xfId="11800"/>
    <cellStyle name="Normal 31 7 8" xfId="4436"/>
    <cellStyle name="Normal 31 7 8 2" xfId="9352"/>
    <cellStyle name="Normal 31 7 9" xfId="8109"/>
    <cellStyle name="Normal 31 8" xfId="690"/>
    <cellStyle name="Normal 31 8 2" xfId="1040"/>
    <cellStyle name="Normal 31 8 2 2" xfId="1654"/>
    <cellStyle name="Normal 31 8 2 2 2" xfId="2880"/>
    <cellStyle name="Normal 31 8 2 2 2 2" xfId="6740"/>
    <cellStyle name="Normal 31 8 2 2 2 3" xfId="11692"/>
    <cellStyle name="Normal 31 8 2 2 3" xfId="4108"/>
    <cellStyle name="Normal 31 8 2 2 3 2" xfId="7964"/>
    <cellStyle name="Normal 31 8 2 2 3 3" xfId="10450"/>
    <cellStyle name="Normal 31 8 2 2 4" xfId="5516"/>
    <cellStyle name="Normal 31 8 2 2 5" xfId="9208"/>
    <cellStyle name="Normal 31 8 2 3" xfId="2268"/>
    <cellStyle name="Normal 31 8 2 3 2" xfId="6128"/>
    <cellStyle name="Normal 31 8 2 3 3" xfId="11044"/>
    <cellStyle name="Normal 31 8 2 4" xfId="3496"/>
    <cellStyle name="Normal 31 8 2 4 2" xfId="7352"/>
    <cellStyle name="Normal 31 8 2 4 3" xfId="9802"/>
    <cellStyle name="Normal 31 8 2 5" xfId="4904"/>
    <cellStyle name="Normal 31 8 2 6" xfId="8559"/>
    <cellStyle name="Normal 31 8 3" xfId="1348"/>
    <cellStyle name="Normal 31 8 3 2" xfId="2574"/>
    <cellStyle name="Normal 31 8 3 2 2" xfId="6434"/>
    <cellStyle name="Normal 31 8 3 2 3" xfId="11386"/>
    <cellStyle name="Normal 31 8 3 3" xfId="3802"/>
    <cellStyle name="Normal 31 8 3 3 2" xfId="7658"/>
    <cellStyle name="Normal 31 8 3 3 3" xfId="10144"/>
    <cellStyle name="Normal 31 8 3 4" xfId="5210"/>
    <cellStyle name="Normal 31 8 3 5" xfId="8902"/>
    <cellStyle name="Normal 31 8 4" xfId="1962"/>
    <cellStyle name="Normal 31 8 4 2" xfId="5822"/>
    <cellStyle name="Normal 31 8 4 3" xfId="10756"/>
    <cellStyle name="Normal 31 8 5" xfId="3189"/>
    <cellStyle name="Normal 31 8 5 2" xfId="7046"/>
    <cellStyle name="Normal 31 8 5 3" xfId="11962"/>
    <cellStyle name="Normal 31 8 6" xfId="4598"/>
    <cellStyle name="Normal 31 8 6 2" xfId="9514"/>
    <cellStyle name="Normal 31 8 7" xfId="8271"/>
    <cellStyle name="Normal 31 9" xfId="600"/>
    <cellStyle name="Normal 31 9 2" xfId="950"/>
    <cellStyle name="Normal 31 9 2 2" xfId="1564"/>
    <cellStyle name="Normal 31 9 2 2 2" xfId="2790"/>
    <cellStyle name="Normal 31 9 2 2 2 2" xfId="6650"/>
    <cellStyle name="Normal 31 9 2 2 2 3" xfId="11602"/>
    <cellStyle name="Normal 31 9 2 2 3" xfId="4018"/>
    <cellStyle name="Normal 31 9 2 2 3 2" xfId="7874"/>
    <cellStyle name="Normal 31 9 2 2 3 3" xfId="10360"/>
    <cellStyle name="Normal 31 9 2 2 4" xfId="5426"/>
    <cellStyle name="Normal 31 9 2 2 5" xfId="9118"/>
    <cellStyle name="Normal 31 9 2 3" xfId="2178"/>
    <cellStyle name="Normal 31 9 2 3 2" xfId="6038"/>
    <cellStyle name="Normal 31 9 2 3 3" xfId="10954"/>
    <cellStyle name="Normal 31 9 2 4" xfId="3406"/>
    <cellStyle name="Normal 31 9 2 4 2" xfId="7262"/>
    <cellStyle name="Normal 31 9 2 4 3" xfId="9712"/>
    <cellStyle name="Normal 31 9 2 5" xfId="4814"/>
    <cellStyle name="Normal 31 9 2 6" xfId="8469"/>
    <cellStyle name="Normal 31 9 3" xfId="1258"/>
    <cellStyle name="Normal 31 9 3 2" xfId="2484"/>
    <cellStyle name="Normal 31 9 3 2 2" xfId="6344"/>
    <cellStyle name="Normal 31 9 3 2 3" xfId="11296"/>
    <cellStyle name="Normal 31 9 3 3" xfId="3712"/>
    <cellStyle name="Normal 31 9 3 3 2" xfId="7568"/>
    <cellStyle name="Normal 31 9 3 3 3" xfId="10054"/>
    <cellStyle name="Normal 31 9 3 4" xfId="5120"/>
    <cellStyle name="Normal 31 9 3 5" xfId="8812"/>
    <cellStyle name="Normal 31 9 4" xfId="1872"/>
    <cellStyle name="Normal 31 9 4 2" xfId="5732"/>
    <cellStyle name="Normal 31 9 4 3" xfId="10666"/>
    <cellStyle name="Normal 31 9 5" xfId="3099"/>
    <cellStyle name="Normal 31 9 5 2" xfId="6956"/>
    <cellStyle name="Normal 31 9 5 3" xfId="11872"/>
    <cellStyle name="Normal 31 9 6" xfId="4508"/>
    <cellStyle name="Normal 31 9 6 2" xfId="9424"/>
    <cellStyle name="Normal 31 9 7" xfId="8181"/>
    <cellStyle name="Normal 32" xfId="239"/>
    <cellStyle name="Normal 32 2" xfId="240"/>
    <cellStyle name="Normal 32 3" xfId="455"/>
    <cellStyle name="Normal 33" xfId="241"/>
    <cellStyle name="Normal 33 2" xfId="242"/>
    <cellStyle name="Normal 34" xfId="243"/>
    <cellStyle name="Normal 34 2" xfId="244"/>
    <cellStyle name="Normal 35" xfId="245"/>
    <cellStyle name="Normal 35 2" xfId="246"/>
    <cellStyle name="Normal 35 2 2" xfId="4289"/>
    <cellStyle name="Normal 35 3" xfId="4288"/>
    <cellStyle name="Normal 36" xfId="247"/>
    <cellStyle name="Normal 36 2" xfId="248"/>
    <cellStyle name="Normal 37" xfId="249"/>
    <cellStyle name="Normal 37 2" xfId="4290"/>
    <cellStyle name="Normal 38" xfId="250"/>
    <cellStyle name="Normal 38 2" xfId="251"/>
    <cellStyle name="Normal 38 2 2" xfId="252"/>
    <cellStyle name="Normal 38 3" xfId="4291"/>
    <cellStyle name="Normal 39" xfId="253"/>
    <cellStyle name="Normal 4" xfId="254"/>
    <cellStyle name="Normal 4 2" xfId="255"/>
    <cellStyle name="Normal 4 2 2" xfId="256"/>
    <cellStyle name="Normal 4 2 2 2" xfId="900"/>
    <cellStyle name="Normal 4 2 3" xfId="257"/>
    <cellStyle name="Normal 4 2 4" xfId="550"/>
    <cellStyle name="Normal 4 3" xfId="806"/>
    <cellStyle name="Normal 4 4" xfId="456"/>
    <cellStyle name="Normal 40" xfId="258"/>
    <cellStyle name="Normal 40 2" xfId="4292"/>
    <cellStyle name="Normal 41" xfId="259"/>
    <cellStyle name="Normal 41 2" xfId="4293"/>
    <cellStyle name="Normal 42" xfId="260"/>
    <cellStyle name="Normal 42 2" xfId="4294"/>
    <cellStyle name="Normal 43" xfId="261"/>
    <cellStyle name="Normal 44" xfId="262"/>
    <cellStyle name="Normal 45" xfId="263"/>
    <cellStyle name="Normal 45 2" xfId="264"/>
    <cellStyle name="Normal 46" xfId="265"/>
    <cellStyle name="Normal 47" xfId="266"/>
    <cellStyle name="Normal 48" xfId="267"/>
    <cellStyle name="Normal 49" xfId="268"/>
    <cellStyle name="Normal 5" xfId="269"/>
    <cellStyle name="Normal 5 10" xfId="1140"/>
    <cellStyle name="Normal 5 10 2" xfId="2366"/>
    <cellStyle name="Normal 5 10 2 2" xfId="6226"/>
    <cellStyle name="Normal 5 10 2 3" xfId="11178"/>
    <cellStyle name="Normal 5 10 3" xfId="3594"/>
    <cellStyle name="Normal 5 10 3 2" xfId="7450"/>
    <cellStyle name="Normal 5 10 3 3" xfId="9936"/>
    <cellStyle name="Normal 5 10 4" xfId="5002"/>
    <cellStyle name="Normal 5 10 5" xfId="8694"/>
    <cellStyle name="Normal 5 11" xfId="457"/>
    <cellStyle name="Normal 5 11 2" xfId="4390"/>
    <cellStyle name="Normal 5 11 3" xfId="10548"/>
    <cellStyle name="Normal 5 12" xfId="1754"/>
    <cellStyle name="Normal 5 12 2" xfId="5614"/>
    <cellStyle name="Normal 5 12 3" xfId="11790"/>
    <cellStyle name="Normal 5 13" xfId="2981"/>
    <cellStyle name="Normal 5 13 2" xfId="6838"/>
    <cellStyle name="Normal 5 13 3" xfId="9306"/>
    <cellStyle name="Normal 5 14" xfId="8063"/>
    <cellStyle name="Normal 5 2" xfId="270"/>
    <cellStyle name="Normal 5 2 10" xfId="458"/>
    <cellStyle name="Normal 5 2 10 2" xfId="4391"/>
    <cellStyle name="Normal 5 2 10 3" xfId="10549"/>
    <cellStyle name="Normal 5 2 11" xfId="1755"/>
    <cellStyle name="Normal 5 2 11 2" xfId="5615"/>
    <cellStyle name="Normal 5 2 11 3" xfId="11791"/>
    <cellStyle name="Normal 5 2 12" xfId="2982"/>
    <cellStyle name="Normal 5 2 12 2" xfId="6839"/>
    <cellStyle name="Normal 5 2 12 3" xfId="9307"/>
    <cellStyle name="Normal 5 2 13" xfId="4295"/>
    <cellStyle name="Normal 5 2 14" xfId="8064"/>
    <cellStyle name="Normal 5 2 2" xfId="271"/>
    <cellStyle name="Normal 5 2 2 10" xfId="3000"/>
    <cellStyle name="Normal 5 2 2 10 2" xfId="6857"/>
    <cellStyle name="Normal 5 2 2 10 3" xfId="9325"/>
    <cellStyle name="Normal 5 2 2 11" xfId="4296"/>
    <cellStyle name="Normal 5 2 2 12" xfId="8082"/>
    <cellStyle name="Normal 5 2 2 2" xfId="590"/>
    <cellStyle name="Normal 5 2 2 2 2" xfId="771"/>
    <cellStyle name="Normal 5 2 2 2 2 2" xfId="1121"/>
    <cellStyle name="Normal 5 2 2 2 2 2 2" xfId="1735"/>
    <cellStyle name="Normal 5 2 2 2 2 2 2 2" xfId="2961"/>
    <cellStyle name="Normal 5 2 2 2 2 2 2 2 2" xfId="6821"/>
    <cellStyle name="Normal 5 2 2 2 2 2 2 2 3" xfId="11773"/>
    <cellStyle name="Normal 5 2 2 2 2 2 2 3" xfId="4189"/>
    <cellStyle name="Normal 5 2 2 2 2 2 2 3 2" xfId="8045"/>
    <cellStyle name="Normal 5 2 2 2 2 2 2 3 3" xfId="10531"/>
    <cellStyle name="Normal 5 2 2 2 2 2 2 4" xfId="5597"/>
    <cellStyle name="Normal 5 2 2 2 2 2 2 5" xfId="9289"/>
    <cellStyle name="Normal 5 2 2 2 2 2 3" xfId="2349"/>
    <cellStyle name="Normal 5 2 2 2 2 2 3 2" xfId="6209"/>
    <cellStyle name="Normal 5 2 2 2 2 2 3 3" xfId="11125"/>
    <cellStyle name="Normal 5 2 2 2 2 2 4" xfId="3577"/>
    <cellStyle name="Normal 5 2 2 2 2 2 4 2" xfId="7433"/>
    <cellStyle name="Normal 5 2 2 2 2 2 4 3" xfId="9883"/>
    <cellStyle name="Normal 5 2 2 2 2 2 5" xfId="4985"/>
    <cellStyle name="Normal 5 2 2 2 2 2 6" xfId="8640"/>
    <cellStyle name="Normal 5 2 2 2 2 3" xfId="1429"/>
    <cellStyle name="Normal 5 2 2 2 2 3 2" xfId="2655"/>
    <cellStyle name="Normal 5 2 2 2 2 3 2 2" xfId="6515"/>
    <cellStyle name="Normal 5 2 2 2 2 3 2 3" xfId="11467"/>
    <cellStyle name="Normal 5 2 2 2 2 3 3" xfId="3883"/>
    <cellStyle name="Normal 5 2 2 2 2 3 3 2" xfId="7739"/>
    <cellStyle name="Normal 5 2 2 2 2 3 3 3" xfId="10225"/>
    <cellStyle name="Normal 5 2 2 2 2 3 4" xfId="5291"/>
    <cellStyle name="Normal 5 2 2 2 2 3 5" xfId="8983"/>
    <cellStyle name="Normal 5 2 2 2 2 4" xfId="2043"/>
    <cellStyle name="Normal 5 2 2 2 2 4 2" xfId="5903"/>
    <cellStyle name="Normal 5 2 2 2 2 4 3" xfId="10837"/>
    <cellStyle name="Normal 5 2 2 2 2 5" xfId="3270"/>
    <cellStyle name="Normal 5 2 2 2 2 5 2" xfId="7127"/>
    <cellStyle name="Normal 5 2 2 2 2 5 3" xfId="12043"/>
    <cellStyle name="Normal 5 2 2 2 2 6" xfId="4679"/>
    <cellStyle name="Normal 5 2 2 2 2 6 2" xfId="9595"/>
    <cellStyle name="Normal 5 2 2 2 2 7" xfId="8352"/>
    <cellStyle name="Normal 5 2 2 2 3" xfId="681"/>
    <cellStyle name="Normal 5 2 2 2 3 2" xfId="1031"/>
    <cellStyle name="Normal 5 2 2 2 3 2 2" xfId="1645"/>
    <cellStyle name="Normal 5 2 2 2 3 2 2 2" xfId="2871"/>
    <cellStyle name="Normal 5 2 2 2 3 2 2 2 2" xfId="6731"/>
    <cellStyle name="Normal 5 2 2 2 3 2 2 2 3" xfId="11683"/>
    <cellStyle name="Normal 5 2 2 2 3 2 2 3" xfId="4099"/>
    <cellStyle name="Normal 5 2 2 2 3 2 2 3 2" xfId="7955"/>
    <cellStyle name="Normal 5 2 2 2 3 2 2 3 3" xfId="10441"/>
    <cellStyle name="Normal 5 2 2 2 3 2 2 4" xfId="5507"/>
    <cellStyle name="Normal 5 2 2 2 3 2 2 5" xfId="9199"/>
    <cellStyle name="Normal 5 2 2 2 3 2 3" xfId="2259"/>
    <cellStyle name="Normal 5 2 2 2 3 2 3 2" xfId="6119"/>
    <cellStyle name="Normal 5 2 2 2 3 2 3 3" xfId="11035"/>
    <cellStyle name="Normal 5 2 2 2 3 2 4" xfId="3487"/>
    <cellStyle name="Normal 5 2 2 2 3 2 4 2" xfId="7343"/>
    <cellStyle name="Normal 5 2 2 2 3 2 4 3" xfId="9793"/>
    <cellStyle name="Normal 5 2 2 2 3 2 5" xfId="4895"/>
    <cellStyle name="Normal 5 2 2 2 3 2 6" xfId="8550"/>
    <cellStyle name="Normal 5 2 2 2 3 3" xfId="1339"/>
    <cellStyle name="Normal 5 2 2 2 3 3 2" xfId="2565"/>
    <cellStyle name="Normal 5 2 2 2 3 3 2 2" xfId="6425"/>
    <cellStyle name="Normal 5 2 2 2 3 3 2 3" xfId="11377"/>
    <cellStyle name="Normal 5 2 2 2 3 3 3" xfId="3793"/>
    <cellStyle name="Normal 5 2 2 2 3 3 3 2" xfId="7649"/>
    <cellStyle name="Normal 5 2 2 2 3 3 3 3" xfId="10135"/>
    <cellStyle name="Normal 5 2 2 2 3 3 4" xfId="5201"/>
    <cellStyle name="Normal 5 2 2 2 3 3 5" xfId="8893"/>
    <cellStyle name="Normal 5 2 2 2 3 4" xfId="1953"/>
    <cellStyle name="Normal 5 2 2 2 3 4 2" xfId="5813"/>
    <cellStyle name="Normal 5 2 2 2 3 4 3" xfId="10747"/>
    <cellStyle name="Normal 5 2 2 2 3 5" xfId="3180"/>
    <cellStyle name="Normal 5 2 2 2 3 5 2" xfId="7037"/>
    <cellStyle name="Normal 5 2 2 2 3 5 3" xfId="11953"/>
    <cellStyle name="Normal 5 2 2 2 3 6" xfId="4589"/>
    <cellStyle name="Normal 5 2 2 2 3 6 2" xfId="9505"/>
    <cellStyle name="Normal 5 2 2 2 3 7" xfId="8262"/>
    <cellStyle name="Normal 5 2 2 2 4" xfId="940"/>
    <cellStyle name="Normal 5 2 2 2 4 2" xfId="1555"/>
    <cellStyle name="Normal 5 2 2 2 4 2 2" xfId="2781"/>
    <cellStyle name="Normal 5 2 2 2 4 2 2 2" xfId="6641"/>
    <cellStyle name="Normal 5 2 2 2 4 2 2 3" xfId="11593"/>
    <cellStyle name="Normal 5 2 2 2 4 2 3" xfId="4009"/>
    <cellStyle name="Normal 5 2 2 2 4 2 3 2" xfId="7865"/>
    <cellStyle name="Normal 5 2 2 2 4 2 3 3" xfId="10351"/>
    <cellStyle name="Normal 5 2 2 2 4 2 4" xfId="5417"/>
    <cellStyle name="Normal 5 2 2 2 4 2 5" xfId="9109"/>
    <cellStyle name="Normal 5 2 2 2 4 3" xfId="2169"/>
    <cellStyle name="Normal 5 2 2 2 4 3 2" xfId="6029"/>
    <cellStyle name="Normal 5 2 2 2 4 3 3" xfId="10945"/>
    <cellStyle name="Normal 5 2 2 2 4 4" xfId="3397"/>
    <cellStyle name="Normal 5 2 2 2 4 4 2" xfId="7253"/>
    <cellStyle name="Normal 5 2 2 2 4 4 3" xfId="9703"/>
    <cellStyle name="Normal 5 2 2 2 4 5" xfId="4805"/>
    <cellStyle name="Normal 5 2 2 2 4 6" xfId="8460"/>
    <cellStyle name="Normal 5 2 2 2 5" xfId="1249"/>
    <cellStyle name="Normal 5 2 2 2 5 2" xfId="2475"/>
    <cellStyle name="Normal 5 2 2 2 5 2 2" xfId="6335"/>
    <cellStyle name="Normal 5 2 2 2 5 2 3" xfId="11287"/>
    <cellStyle name="Normal 5 2 2 2 5 3" xfId="3703"/>
    <cellStyle name="Normal 5 2 2 2 5 3 2" xfId="7559"/>
    <cellStyle name="Normal 5 2 2 2 5 3 3" xfId="10045"/>
    <cellStyle name="Normal 5 2 2 2 5 4" xfId="5111"/>
    <cellStyle name="Normal 5 2 2 2 5 5" xfId="8803"/>
    <cellStyle name="Normal 5 2 2 2 6" xfId="1863"/>
    <cellStyle name="Normal 5 2 2 2 6 2" xfId="5723"/>
    <cellStyle name="Normal 5 2 2 2 6 3" xfId="10657"/>
    <cellStyle name="Normal 5 2 2 2 7" xfId="3090"/>
    <cellStyle name="Normal 5 2 2 2 7 2" xfId="6947"/>
    <cellStyle name="Normal 5 2 2 2 7 3" xfId="11863"/>
    <cellStyle name="Normal 5 2 2 2 8" xfId="4499"/>
    <cellStyle name="Normal 5 2 2 2 8 2" xfId="9415"/>
    <cellStyle name="Normal 5 2 2 2 9" xfId="8172"/>
    <cellStyle name="Normal 5 2 2 3" xfId="735"/>
    <cellStyle name="Normal 5 2 2 3 2" xfId="1085"/>
    <cellStyle name="Normal 5 2 2 3 2 2" xfId="1699"/>
    <cellStyle name="Normal 5 2 2 3 2 2 2" xfId="2925"/>
    <cellStyle name="Normal 5 2 2 3 2 2 2 2" xfId="6785"/>
    <cellStyle name="Normal 5 2 2 3 2 2 2 3" xfId="11737"/>
    <cellStyle name="Normal 5 2 2 3 2 2 3" xfId="4153"/>
    <cellStyle name="Normal 5 2 2 3 2 2 3 2" xfId="8009"/>
    <cellStyle name="Normal 5 2 2 3 2 2 3 3" xfId="10495"/>
    <cellStyle name="Normal 5 2 2 3 2 2 4" xfId="5561"/>
    <cellStyle name="Normal 5 2 2 3 2 2 5" xfId="9253"/>
    <cellStyle name="Normal 5 2 2 3 2 3" xfId="2313"/>
    <cellStyle name="Normal 5 2 2 3 2 3 2" xfId="6173"/>
    <cellStyle name="Normal 5 2 2 3 2 3 3" xfId="11089"/>
    <cellStyle name="Normal 5 2 2 3 2 4" xfId="3541"/>
    <cellStyle name="Normal 5 2 2 3 2 4 2" xfId="7397"/>
    <cellStyle name="Normal 5 2 2 3 2 4 3" xfId="9847"/>
    <cellStyle name="Normal 5 2 2 3 2 5" xfId="4949"/>
    <cellStyle name="Normal 5 2 2 3 2 6" xfId="8604"/>
    <cellStyle name="Normal 5 2 2 3 3" xfId="1393"/>
    <cellStyle name="Normal 5 2 2 3 3 2" xfId="2619"/>
    <cellStyle name="Normal 5 2 2 3 3 2 2" xfId="6479"/>
    <cellStyle name="Normal 5 2 2 3 3 2 3" xfId="11431"/>
    <cellStyle name="Normal 5 2 2 3 3 3" xfId="3847"/>
    <cellStyle name="Normal 5 2 2 3 3 3 2" xfId="7703"/>
    <cellStyle name="Normal 5 2 2 3 3 3 3" xfId="10189"/>
    <cellStyle name="Normal 5 2 2 3 3 4" xfId="5255"/>
    <cellStyle name="Normal 5 2 2 3 3 5" xfId="8947"/>
    <cellStyle name="Normal 5 2 2 3 4" xfId="2007"/>
    <cellStyle name="Normal 5 2 2 3 4 2" xfId="5867"/>
    <cellStyle name="Normal 5 2 2 3 4 3" xfId="10801"/>
    <cellStyle name="Normal 5 2 2 3 5" xfId="3234"/>
    <cellStyle name="Normal 5 2 2 3 5 2" xfId="7091"/>
    <cellStyle name="Normal 5 2 2 3 5 3" xfId="12007"/>
    <cellStyle name="Normal 5 2 2 3 6" xfId="4643"/>
    <cellStyle name="Normal 5 2 2 3 6 2" xfId="9559"/>
    <cellStyle name="Normal 5 2 2 3 7" xfId="8316"/>
    <cellStyle name="Normal 5 2 2 4" xfId="645"/>
    <cellStyle name="Normal 5 2 2 4 2" xfId="995"/>
    <cellStyle name="Normal 5 2 2 4 2 2" xfId="1609"/>
    <cellStyle name="Normal 5 2 2 4 2 2 2" xfId="2835"/>
    <cellStyle name="Normal 5 2 2 4 2 2 2 2" xfId="6695"/>
    <cellStyle name="Normal 5 2 2 4 2 2 2 3" xfId="11647"/>
    <cellStyle name="Normal 5 2 2 4 2 2 3" xfId="4063"/>
    <cellStyle name="Normal 5 2 2 4 2 2 3 2" xfId="7919"/>
    <cellStyle name="Normal 5 2 2 4 2 2 3 3" xfId="10405"/>
    <cellStyle name="Normal 5 2 2 4 2 2 4" xfId="5471"/>
    <cellStyle name="Normal 5 2 2 4 2 2 5" xfId="9163"/>
    <cellStyle name="Normal 5 2 2 4 2 3" xfId="2223"/>
    <cellStyle name="Normal 5 2 2 4 2 3 2" xfId="6083"/>
    <cellStyle name="Normal 5 2 2 4 2 3 3" xfId="10999"/>
    <cellStyle name="Normal 5 2 2 4 2 4" xfId="3451"/>
    <cellStyle name="Normal 5 2 2 4 2 4 2" xfId="7307"/>
    <cellStyle name="Normal 5 2 2 4 2 4 3" xfId="9757"/>
    <cellStyle name="Normal 5 2 2 4 2 5" xfId="4859"/>
    <cellStyle name="Normal 5 2 2 4 2 6" xfId="8514"/>
    <cellStyle name="Normal 5 2 2 4 3" xfId="1303"/>
    <cellStyle name="Normal 5 2 2 4 3 2" xfId="2529"/>
    <cellStyle name="Normal 5 2 2 4 3 2 2" xfId="6389"/>
    <cellStyle name="Normal 5 2 2 4 3 2 3" xfId="11341"/>
    <cellStyle name="Normal 5 2 2 4 3 3" xfId="3757"/>
    <cellStyle name="Normal 5 2 2 4 3 3 2" xfId="7613"/>
    <cellStyle name="Normal 5 2 2 4 3 3 3" xfId="10099"/>
    <cellStyle name="Normal 5 2 2 4 3 4" xfId="5165"/>
    <cellStyle name="Normal 5 2 2 4 3 5" xfId="8857"/>
    <cellStyle name="Normal 5 2 2 4 4" xfId="1917"/>
    <cellStyle name="Normal 5 2 2 4 4 2" xfId="5777"/>
    <cellStyle name="Normal 5 2 2 4 4 3" xfId="10711"/>
    <cellStyle name="Normal 5 2 2 4 5" xfId="3144"/>
    <cellStyle name="Normal 5 2 2 4 5 2" xfId="7001"/>
    <cellStyle name="Normal 5 2 2 4 5 3" xfId="11917"/>
    <cellStyle name="Normal 5 2 2 4 6" xfId="4553"/>
    <cellStyle name="Normal 5 2 2 4 6 2" xfId="9469"/>
    <cellStyle name="Normal 5 2 2 4 7" xfId="8226"/>
    <cellStyle name="Normal 5 2 2 5" xfId="552"/>
    <cellStyle name="Normal 5 2 2 5 2" xfId="902"/>
    <cellStyle name="Normal 5 2 2 5 2 2" xfId="1519"/>
    <cellStyle name="Normal 5 2 2 5 2 2 2" xfId="2745"/>
    <cellStyle name="Normal 5 2 2 5 2 2 2 2" xfId="6605"/>
    <cellStyle name="Normal 5 2 2 5 2 2 2 3" xfId="11557"/>
    <cellStyle name="Normal 5 2 2 5 2 2 3" xfId="3973"/>
    <cellStyle name="Normal 5 2 2 5 2 2 3 2" xfId="7829"/>
    <cellStyle name="Normal 5 2 2 5 2 2 3 3" xfId="10315"/>
    <cellStyle name="Normal 5 2 2 5 2 2 4" xfId="5381"/>
    <cellStyle name="Normal 5 2 2 5 2 2 5" xfId="9073"/>
    <cellStyle name="Normal 5 2 2 5 2 3" xfId="2133"/>
    <cellStyle name="Normal 5 2 2 5 2 3 2" xfId="5993"/>
    <cellStyle name="Normal 5 2 2 5 2 3 3" xfId="11161"/>
    <cellStyle name="Normal 5 2 2 5 2 4" xfId="3361"/>
    <cellStyle name="Normal 5 2 2 5 2 4 2" xfId="7217"/>
    <cellStyle name="Normal 5 2 2 5 2 4 3" xfId="9919"/>
    <cellStyle name="Normal 5 2 2 5 2 5" xfId="4769"/>
    <cellStyle name="Normal 5 2 2 5 2 6" xfId="8677"/>
    <cellStyle name="Normal 5 2 2 5 3" xfId="1213"/>
    <cellStyle name="Normal 5 2 2 5 3 2" xfId="2439"/>
    <cellStyle name="Normal 5 2 2 5 3 2 2" xfId="6299"/>
    <cellStyle name="Normal 5 2 2 5 3 2 3" xfId="11251"/>
    <cellStyle name="Normal 5 2 2 5 3 3" xfId="3667"/>
    <cellStyle name="Normal 5 2 2 5 3 3 2" xfId="7523"/>
    <cellStyle name="Normal 5 2 2 5 3 3 3" xfId="10009"/>
    <cellStyle name="Normal 5 2 2 5 3 4" xfId="5075"/>
    <cellStyle name="Normal 5 2 2 5 3 5" xfId="8767"/>
    <cellStyle name="Normal 5 2 2 5 4" xfId="1827"/>
    <cellStyle name="Normal 5 2 2 5 4 2" xfId="5687"/>
    <cellStyle name="Normal 5 2 2 5 4 2 2" xfId="11143"/>
    <cellStyle name="Normal 5 2 2 5 4 3" xfId="9901"/>
    <cellStyle name="Normal 5 2 2 5 4 4" xfId="8658"/>
    <cellStyle name="Normal 5 2 2 5 5" xfId="3054"/>
    <cellStyle name="Normal 5 2 2 5 5 2" xfId="6911"/>
    <cellStyle name="Normal 5 2 2 5 5 3" xfId="10621"/>
    <cellStyle name="Normal 5 2 2 5 6" xfId="4463"/>
    <cellStyle name="Normal 5 2 2 5 6 2" xfId="9379"/>
    <cellStyle name="Normal 5 2 2 5 7" xfId="8136"/>
    <cellStyle name="Normal 5 2 2 6" xfId="827"/>
    <cellStyle name="Normal 5 2 2 6 2" xfId="1465"/>
    <cellStyle name="Normal 5 2 2 6 2 2" xfId="2691"/>
    <cellStyle name="Normal 5 2 2 6 2 2 2" xfId="6551"/>
    <cellStyle name="Normal 5 2 2 6 2 2 3" xfId="11503"/>
    <cellStyle name="Normal 5 2 2 6 2 3" xfId="3919"/>
    <cellStyle name="Normal 5 2 2 6 2 3 2" xfId="7775"/>
    <cellStyle name="Normal 5 2 2 6 2 3 3" xfId="10261"/>
    <cellStyle name="Normal 5 2 2 6 2 4" xfId="5327"/>
    <cellStyle name="Normal 5 2 2 6 2 5" xfId="9019"/>
    <cellStyle name="Normal 5 2 2 6 3" xfId="2079"/>
    <cellStyle name="Normal 5 2 2 6 3 2" xfId="5939"/>
    <cellStyle name="Normal 5 2 2 6 3 3" xfId="10909"/>
    <cellStyle name="Normal 5 2 2 6 4" xfId="3307"/>
    <cellStyle name="Normal 5 2 2 6 4 2" xfId="7163"/>
    <cellStyle name="Normal 5 2 2 6 4 3" xfId="9667"/>
    <cellStyle name="Normal 5 2 2 6 5" xfId="4715"/>
    <cellStyle name="Normal 5 2 2 6 6" xfId="8424"/>
    <cellStyle name="Normal 5 2 2 7" xfId="1159"/>
    <cellStyle name="Normal 5 2 2 7 2" xfId="2385"/>
    <cellStyle name="Normal 5 2 2 7 2 2" xfId="6245"/>
    <cellStyle name="Normal 5 2 2 7 2 3" xfId="11197"/>
    <cellStyle name="Normal 5 2 2 7 3" xfId="3613"/>
    <cellStyle name="Normal 5 2 2 7 3 2" xfId="7469"/>
    <cellStyle name="Normal 5 2 2 7 3 3" xfId="9955"/>
    <cellStyle name="Normal 5 2 2 7 4" xfId="5021"/>
    <cellStyle name="Normal 5 2 2 7 5" xfId="8713"/>
    <cellStyle name="Normal 5 2 2 8" xfId="477"/>
    <cellStyle name="Normal 5 2 2 8 2" xfId="4409"/>
    <cellStyle name="Normal 5 2 2 8 3" xfId="10567"/>
    <cellStyle name="Normal 5 2 2 9" xfId="1773"/>
    <cellStyle name="Normal 5 2 2 9 2" xfId="5633"/>
    <cellStyle name="Normal 5 2 2 9 3" xfId="11827"/>
    <cellStyle name="Normal 5 2 3" xfId="272"/>
    <cellStyle name="Normal 5 2 3 2" xfId="753"/>
    <cellStyle name="Normal 5 2 3 2 2" xfId="1103"/>
    <cellStyle name="Normal 5 2 3 2 2 2" xfId="1717"/>
    <cellStyle name="Normal 5 2 3 2 2 2 2" xfId="2943"/>
    <cellStyle name="Normal 5 2 3 2 2 2 2 2" xfId="6803"/>
    <cellStyle name="Normal 5 2 3 2 2 2 2 3" xfId="11755"/>
    <cellStyle name="Normal 5 2 3 2 2 2 3" xfId="4171"/>
    <cellStyle name="Normal 5 2 3 2 2 2 3 2" xfId="8027"/>
    <cellStyle name="Normal 5 2 3 2 2 2 3 3" xfId="10513"/>
    <cellStyle name="Normal 5 2 3 2 2 2 4" xfId="5579"/>
    <cellStyle name="Normal 5 2 3 2 2 2 5" xfId="9271"/>
    <cellStyle name="Normal 5 2 3 2 2 3" xfId="2331"/>
    <cellStyle name="Normal 5 2 3 2 2 3 2" xfId="6191"/>
    <cellStyle name="Normal 5 2 3 2 2 3 3" xfId="11107"/>
    <cellStyle name="Normal 5 2 3 2 2 4" xfId="3559"/>
    <cellStyle name="Normal 5 2 3 2 2 4 2" xfId="7415"/>
    <cellStyle name="Normal 5 2 3 2 2 4 3" xfId="9865"/>
    <cellStyle name="Normal 5 2 3 2 2 5" xfId="4967"/>
    <cellStyle name="Normal 5 2 3 2 2 6" xfId="8622"/>
    <cellStyle name="Normal 5 2 3 2 3" xfId="1411"/>
    <cellStyle name="Normal 5 2 3 2 3 2" xfId="2637"/>
    <cellStyle name="Normal 5 2 3 2 3 2 2" xfId="6497"/>
    <cellStyle name="Normal 5 2 3 2 3 2 3" xfId="11449"/>
    <cellStyle name="Normal 5 2 3 2 3 3" xfId="3865"/>
    <cellStyle name="Normal 5 2 3 2 3 3 2" xfId="7721"/>
    <cellStyle name="Normal 5 2 3 2 3 3 3" xfId="10207"/>
    <cellStyle name="Normal 5 2 3 2 3 4" xfId="5273"/>
    <cellStyle name="Normal 5 2 3 2 3 5" xfId="8965"/>
    <cellStyle name="Normal 5 2 3 2 4" xfId="2025"/>
    <cellStyle name="Normal 5 2 3 2 4 2" xfId="5885"/>
    <cellStyle name="Normal 5 2 3 2 4 3" xfId="10819"/>
    <cellStyle name="Normal 5 2 3 2 5" xfId="3252"/>
    <cellStyle name="Normal 5 2 3 2 5 2" xfId="7109"/>
    <cellStyle name="Normal 5 2 3 2 5 3" xfId="12025"/>
    <cellStyle name="Normal 5 2 3 2 6" xfId="4661"/>
    <cellStyle name="Normal 5 2 3 2 6 2" xfId="9577"/>
    <cellStyle name="Normal 5 2 3 2 7" xfId="8334"/>
    <cellStyle name="Normal 5 2 3 3" xfId="663"/>
    <cellStyle name="Normal 5 2 3 3 2" xfId="1013"/>
    <cellStyle name="Normal 5 2 3 3 2 2" xfId="1627"/>
    <cellStyle name="Normal 5 2 3 3 2 2 2" xfId="2853"/>
    <cellStyle name="Normal 5 2 3 3 2 2 2 2" xfId="6713"/>
    <cellStyle name="Normal 5 2 3 3 2 2 2 3" xfId="11665"/>
    <cellStyle name="Normal 5 2 3 3 2 2 3" xfId="4081"/>
    <cellStyle name="Normal 5 2 3 3 2 2 3 2" xfId="7937"/>
    <cellStyle name="Normal 5 2 3 3 2 2 3 3" xfId="10423"/>
    <cellStyle name="Normal 5 2 3 3 2 2 4" xfId="5489"/>
    <cellStyle name="Normal 5 2 3 3 2 2 5" xfId="9181"/>
    <cellStyle name="Normal 5 2 3 3 2 3" xfId="2241"/>
    <cellStyle name="Normal 5 2 3 3 2 3 2" xfId="6101"/>
    <cellStyle name="Normal 5 2 3 3 2 3 3" xfId="11017"/>
    <cellStyle name="Normal 5 2 3 3 2 4" xfId="3469"/>
    <cellStyle name="Normal 5 2 3 3 2 4 2" xfId="7325"/>
    <cellStyle name="Normal 5 2 3 3 2 4 3" xfId="9775"/>
    <cellStyle name="Normal 5 2 3 3 2 5" xfId="4877"/>
    <cellStyle name="Normal 5 2 3 3 2 6" xfId="8532"/>
    <cellStyle name="Normal 5 2 3 3 3" xfId="1321"/>
    <cellStyle name="Normal 5 2 3 3 3 2" xfId="2547"/>
    <cellStyle name="Normal 5 2 3 3 3 2 2" xfId="6407"/>
    <cellStyle name="Normal 5 2 3 3 3 2 3" xfId="11359"/>
    <cellStyle name="Normal 5 2 3 3 3 3" xfId="3775"/>
    <cellStyle name="Normal 5 2 3 3 3 3 2" xfId="7631"/>
    <cellStyle name="Normal 5 2 3 3 3 3 3" xfId="10117"/>
    <cellStyle name="Normal 5 2 3 3 3 4" xfId="5183"/>
    <cellStyle name="Normal 5 2 3 3 3 5" xfId="8875"/>
    <cellStyle name="Normal 5 2 3 3 4" xfId="1935"/>
    <cellStyle name="Normal 5 2 3 3 4 2" xfId="5795"/>
    <cellStyle name="Normal 5 2 3 3 4 3" xfId="10729"/>
    <cellStyle name="Normal 5 2 3 3 5" xfId="3162"/>
    <cellStyle name="Normal 5 2 3 3 5 2" xfId="7019"/>
    <cellStyle name="Normal 5 2 3 3 5 3" xfId="11935"/>
    <cellStyle name="Normal 5 2 3 3 6" xfId="4571"/>
    <cellStyle name="Normal 5 2 3 3 6 2" xfId="9487"/>
    <cellStyle name="Normal 5 2 3 3 7" xfId="8244"/>
    <cellStyle name="Normal 5 2 3 4" xfId="922"/>
    <cellStyle name="Normal 5 2 3 4 2" xfId="1537"/>
    <cellStyle name="Normal 5 2 3 4 2 2" xfId="2763"/>
    <cellStyle name="Normal 5 2 3 4 2 2 2" xfId="6623"/>
    <cellStyle name="Normal 5 2 3 4 2 2 3" xfId="11575"/>
    <cellStyle name="Normal 5 2 3 4 2 3" xfId="3991"/>
    <cellStyle name="Normal 5 2 3 4 2 3 2" xfId="7847"/>
    <cellStyle name="Normal 5 2 3 4 2 3 3" xfId="10333"/>
    <cellStyle name="Normal 5 2 3 4 2 4" xfId="5399"/>
    <cellStyle name="Normal 5 2 3 4 2 5" xfId="9091"/>
    <cellStyle name="Normal 5 2 3 4 3" xfId="2151"/>
    <cellStyle name="Normal 5 2 3 4 3 2" xfId="6011"/>
    <cellStyle name="Normal 5 2 3 4 3 3" xfId="10927"/>
    <cellStyle name="Normal 5 2 3 4 4" xfId="3379"/>
    <cellStyle name="Normal 5 2 3 4 4 2" xfId="7235"/>
    <cellStyle name="Normal 5 2 3 4 4 3" xfId="9685"/>
    <cellStyle name="Normal 5 2 3 4 5" xfId="4787"/>
    <cellStyle name="Normal 5 2 3 4 6" xfId="8442"/>
    <cellStyle name="Normal 5 2 3 5" xfId="1231"/>
    <cellStyle name="Normal 5 2 3 5 2" xfId="2457"/>
    <cellStyle name="Normal 5 2 3 5 2 2" xfId="6317"/>
    <cellStyle name="Normal 5 2 3 5 2 3" xfId="11269"/>
    <cellStyle name="Normal 5 2 3 5 3" xfId="3685"/>
    <cellStyle name="Normal 5 2 3 5 3 2" xfId="7541"/>
    <cellStyle name="Normal 5 2 3 5 3 3" xfId="10027"/>
    <cellStyle name="Normal 5 2 3 5 4" xfId="5093"/>
    <cellStyle name="Normal 5 2 3 5 5" xfId="8785"/>
    <cellStyle name="Normal 5 2 3 6" xfId="572"/>
    <cellStyle name="Normal 5 2 3 6 2" xfId="4481"/>
    <cellStyle name="Normal 5 2 3 6 3" xfId="10639"/>
    <cellStyle name="Normal 5 2 3 7" xfId="1845"/>
    <cellStyle name="Normal 5 2 3 7 2" xfId="5705"/>
    <cellStyle name="Normal 5 2 3 7 3" xfId="11845"/>
    <cellStyle name="Normal 5 2 3 8" xfId="3072"/>
    <cellStyle name="Normal 5 2 3 8 2" xfId="6929"/>
    <cellStyle name="Normal 5 2 3 8 3" xfId="9397"/>
    <cellStyle name="Normal 5 2 3 9" xfId="8154"/>
    <cellStyle name="Normal 5 2 4" xfId="515"/>
    <cellStyle name="Normal 5 2 4 2" xfId="717"/>
    <cellStyle name="Normal 5 2 4 2 2" xfId="1067"/>
    <cellStyle name="Normal 5 2 4 2 2 2" xfId="1681"/>
    <cellStyle name="Normal 5 2 4 2 2 2 2" xfId="2907"/>
    <cellStyle name="Normal 5 2 4 2 2 2 2 2" xfId="6767"/>
    <cellStyle name="Normal 5 2 4 2 2 2 2 3" xfId="11719"/>
    <cellStyle name="Normal 5 2 4 2 2 2 3" xfId="4135"/>
    <cellStyle name="Normal 5 2 4 2 2 2 3 2" xfId="7991"/>
    <cellStyle name="Normal 5 2 4 2 2 2 3 3" xfId="10477"/>
    <cellStyle name="Normal 5 2 4 2 2 2 4" xfId="5543"/>
    <cellStyle name="Normal 5 2 4 2 2 2 5" xfId="9235"/>
    <cellStyle name="Normal 5 2 4 2 2 3" xfId="2295"/>
    <cellStyle name="Normal 5 2 4 2 2 3 2" xfId="6155"/>
    <cellStyle name="Normal 5 2 4 2 2 3 3" xfId="11071"/>
    <cellStyle name="Normal 5 2 4 2 2 4" xfId="3523"/>
    <cellStyle name="Normal 5 2 4 2 2 4 2" xfId="7379"/>
    <cellStyle name="Normal 5 2 4 2 2 4 3" xfId="9829"/>
    <cellStyle name="Normal 5 2 4 2 2 5" xfId="4931"/>
    <cellStyle name="Normal 5 2 4 2 2 6" xfId="8586"/>
    <cellStyle name="Normal 5 2 4 2 3" xfId="1375"/>
    <cellStyle name="Normal 5 2 4 2 3 2" xfId="2601"/>
    <cellStyle name="Normal 5 2 4 2 3 2 2" xfId="6461"/>
    <cellStyle name="Normal 5 2 4 2 3 2 3" xfId="11413"/>
    <cellStyle name="Normal 5 2 4 2 3 3" xfId="3829"/>
    <cellStyle name="Normal 5 2 4 2 3 3 2" xfId="7685"/>
    <cellStyle name="Normal 5 2 4 2 3 3 3" xfId="10171"/>
    <cellStyle name="Normal 5 2 4 2 3 4" xfId="5237"/>
    <cellStyle name="Normal 5 2 4 2 3 5" xfId="8929"/>
    <cellStyle name="Normal 5 2 4 2 4" xfId="1989"/>
    <cellStyle name="Normal 5 2 4 2 4 2" xfId="5849"/>
    <cellStyle name="Normal 5 2 4 2 4 3" xfId="10783"/>
    <cellStyle name="Normal 5 2 4 2 5" xfId="3216"/>
    <cellStyle name="Normal 5 2 4 2 5 2" xfId="7073"/>
    <cellStyle name="Normal 5 2 4 2 5 3" xfId="11989"/>
    <cellStyle name="Normal 5 2 4 2 6" xfId="4625"/>
    <cellStyle name="Normal 5 2 4 2 6 2" xfId="9541"/>
    <cellStyle name="Normal 5 2 4 2 7" xfId="8298"/>
    <cellStyle name="Normal 5 2 4 3" xfId="627"/>
    <cellStyle name="Normal 5 2 4 3 2" xfId="977"/>
    <cellStyle name="Normal 5 2 4 3 2 2" xfId="1591"/>
    <cellStyle name="Normal 5 2 4 3 2 2 2" xfId="2817"/>
    <cellStyle name="Normal 5 2 4 3 2 2 2 2" xfId="6677"/>
    <cellStyle name="Normal 5 2 4 3 2 2 2 3" xfId="11629"/>
    <cellStyle name="Normal 5 2 4 3 2 2 3" xfId="4045"/>
    <cellStyle name="Normal 5 2 4 3 2 2 3 2" xfId="7901"/>
    <cellStyle name="Normal 5 2 4 3 2 2 3 3" xfId="10387"/>
    <cellStyle name="Normal 5 2 4 3 2 2 4" xfId="5453"/>
    <cellStyle name="Normal 5 2 4 3 2 2 5" xfId="9145"/>
    <cellStyle name="Normal 5 2 4 3 2 3" xfId="2205"/>
    <cellStyle name="Normal 5 2 4 3 2 3 2" xfId="6065"/>
    <cellStyle name="Normal 5 2 4 3 2 3 3" xfId="10981"/>
    <cellStyle name="Normal 5 2 4 3 2 4" xfId="3433"/>
    <cellStyle name="Normal 5 2 4 3 2 4 2" xfId="7289"/>
    <cellStyle name="Normal 5 2 4 3 2 4 3" xfId="9739"/>
    <cellStyle name="Normal 5 2 4 3 2 5" xfId="4841"/>
    <cellStyle name="Normal 5 2 4 3 2 6" xfId="8496"/>
    <cellStyle name="Normal 5 2 4 3 3" xfId="1285"/>
    <cellStyle name="Normal 5 2 4 3 3 2" xfId="2511"/>
    <cellStyle name="Normal 5 2 4 3 3 2 2" xfId="6371"/>
    <cellStyle name="Normal 5 2 4 3 3 2 3" xfId="11323"/>
    <cellStyle name="Normal 5 2 4 3 3 3" xfId="3739"/>
    <cellStyle name="Normal 5 2 4 3 3 3 2" xfId="7595"/>
    <cellStyle name="Normal 5 2 4 3 3 3 3" xfId="10081"/>
    <cellStyle name="Normal 5 2 4 3 3 4" xfId="5147"/>
    <cellStyle name="Normal 5 2 4 3 3 5" xfId="8839"/>
    <cellStyle name="Normal 5 2 4 3 4" xfId="1899"/>
    <cellStyle name="Normal 5 2 4 3 4 2" xfId="5759"/>
    <cellStyle name="Normal 5 2 4 3 4 3" xfId="10693"/>
    <cellStyle name="Normal 5 2 4 3 5" xfId="3126"/>
    <cellStyle name="Normal 5 2 4 3 5 2" xfId="6983"/>
    <cellStyle name="Normal 5 2 4 3 5 3" xfId="11899"/>
    <cellStyle name="Normal 5 2 4 3 6" xfId="4535"/>
    <cellStyle name="Normal 5 2 4 3 6 2" xfId="9451"/>
    <cellStyle name="Normal 5 2 4 3 7" xfId="8208"/>
    <cellStyle name="Normal 5 2 4 4" xfId="865"/>
    <cellStyle name="Normal 5 2 4 4 2" xfId="1501"/>
    <cellStyle name="Normal 5 2 4 4 2 2" xfId="2727"/>
    <cellStyle name="Normal 5 2 4 4 2 2 2" xfId="6587"/>
    <cellStyle name="Normal 5 2 4 4 2 2 3" xfId="11539"/>
    <cellStyle name="Normal 5 2 4 4 2 3" xfId="3955"/>
    <cellStyle name="Normal 5 2 4 4 2 3 2" xfId="7811"/>
    <cellStyle name="Normal 5 2 4 4 2 3 3" xfId="10297"/>
    <cellStyle name="Normal 5 2 4 4 2 4" xfId="5363"/>
    <cellStyle name="Normal 5 2 4 4 2 5" xfId="9055"/>
    <cellStyle name="Normal 5 2 4 4 3" xfId="2115"/>
    <cellStyle name="Normal 5 2 4 4 3 2" xfId="5975"/>
    <cellStyle name="Normal 5 2 4 4 3 3" xfId="10891"/>
    <cellStyle name="Normal 5 2 4 4 4" xfId="3343"/>
    <cellStyle name="Normal 5 2 4 4 4 2" xfId="7199"/>
    <cellStyle name="Normal 5 2 4 4 4 3" xfId="9649"/>
    <cellStyle name="Normal 5 2 4 4 5" xfId="4751"/>
    <cellStyle name="Normal 5 2 4 4 6" xfId="8406"/>
    <cellStyle name="Normal 5 2 4 5" xfId="1195"/>
    <cellStyle name="Normal 5 2 4 5 2" xfId="2421"/>
    <cellStyle name="Normal 5 2 4 5 2 2" xfId="6281"/>
    <cellStyle name="Normal 5 2 4 5 2 3" xfId="11233"/>
    <cellStyle name="Normal 5 2 4 5 3" xfId="3649"/>
    <cellStyle name="Normal 5 2 4 5 3 2" xfId="7505"/>
    <cellStyle name="Normal 5 2 4 5 3 3" xfId="9991"/>
    <cellStyle name="Normal 5 2 4 5 4" xfId="5057"/>
    <cellStyle name="Normal 5 2 4 5 5" xfId="8749"/>
    <cellStyle name="Normal 5 2 4 6" xfId="1809"/>
    <cellStyle name="Normal 5 2 4 6 2" xfId="5669"/>
    <cellStyle name="Normal 5 2 4 6 3" xfId="10603"/>
    <cellStyle name="Normal 5 2 4 7" xfId="3036"/>
    <cellStyle name="Normal 5 2 4 7 2" xfId="6893"/>
    <cellStyle name="Normal 5 2 4 7 3" xfId="11809"/>
    <cellStyle name="Normal 5 2 4 8" xfId="4445"/>
    <cellStyle name="Normal 5 2 4 8 2" xfId="9361"/>
    <cellStyle name="Normal 5 2 4 9" xfId="8118"/>
    <cellStyle name="Normal 5 2 5" xfId="699"/>
    <cellStyle name="Normal 5 2 5 2" xfId="1049"/>
    <cellStyle name="Normal 5 2 5 2 2" xfId="1663"/>
    <cellStyle name="Normal 5 2 5 2 2 2" xfId="2889"/>
    <cellStyle name="Normal 5 2 5 2 2 2 2" xfId="6749"/>
    <cellStyle name="Normal 5 2 5 2 2 2 3" xfId="11701"/>
    <cellStyle name="Normal 5 2 5 2 2 3" xfId="4117"/>
    <cellStyle name="Normal 5 2 5 2 2 3 2" xfId="7973"/>
    <cellStyle name="Normal 5 2 5 2 2 3 3" xfId="10459"/>
    <cellStyle name="Normal 5 2 5 2 2 4" xfId="5525"/>
    <cellStyle name="Normal 5 2 5 2 2 5" xfId="9217"/>
    <cellStyle name="Normal 5 2 5 2 3" xfId="2277"/>
    <cellStyle name="Normal 5 2 5 2 3 2" xfId="6137"/>
    <cellStyle name="Normal 5 2 5 2 3 3" xfId="11053"/>
    <cellStyle name="Normal 5 2 5 2 4" xfId="3505"/>
    <cellStyle name="Normal 5 2 5 2 4 2" xfId="7361"/>
    <cellStyle name="Normal 5 2 5 2 4 3" xfId="9811"/>
    <cellStyle name="Normal 5 2 5 2 5" xfId="4913"/>
    <cellStyle name="Normal 5 2 5 2 6" xfId="8568"/>
    <cellStyle name="Normal 5 2 5 3" xfId="1357"/>
    <cellStyle name="Normal 5 2 5 3 2" xfId="2583"/>
    <cellStyle name="Normal 5 2 5 3 2 2" xfId="6443"/>
    <cellStyle name="Normal 5 2 5 3 2 3" xfId="11395"/>
    <cellStyle name="Normal 5 2 5 3 3" xfId="3811"/>
    <cellStyle name="Normal 5 2 5 3 3 2" xfId="7667"/>
    <cellStyle name="Normal 5 2 5 3 3 3" xfId="10153"/>
    <cellStyle name="Normal 5 2 5 3 4" xfId="5219"/>
    <cellStyle name="Normal 5 2 5 3 5" xfId="8911"/>
    <cellStyle name="Normal 5 2 5 4" xfId="1971"/>
    <cellStyle name="Normal 5 2 5 4 2" xfId="5831"/>
    <cellStyle name="Normal 5 2 5 4 3" xfId="10765"/>
    <cellStyle name="Normal 5 2 5 5" xfId="3198"/>
    <cellStyle name="Normal 5 2 5 5 2" xfId="7055"/>
    <cellStyle name="Normal 5 2 5 5 3" xfId="11971"/>
    <cellStyle name="Normal 5 2 5 6" xfId="4607"/>
    <cellStyle name="Normal 5 2 5 6 2" xfId="9523"/>
    <cellStyle name="Normal 5 2 5 7" xfId="8280"/>
    <cellStyle name="Normal 5 2 6" xfId="609"/>
    <cellStyle name="Normal 5 2 6 2" xfId="959"/>
    <cellStyle name="Normal 5 2 6 2 2" xfId="1573"/>
    <cellStyle name="Normal 5 2 6 2 2 2" xfId="2799"/>
    <cellStyle name="Normal 5 2 6 2 2 2 2" xfId="6659"/>
    <cellStyle name="Normal 5 2 6 2 2 2 3" xfId="11611"/>
    <cellStyle name="Normal 5 2 6 2 2 3" xfId="4027"/>
    <cellStyle name="Normal 5 2 6 2 2 3 2" xfId="7883"/>
    <cellStyle name="Normal 5 2 6 2 2 3 3" xfId="10369"/>
    <cellStyle name="Normal 5 2 6 2 2 4" xfId="5435"/>
    <cellStyle name="Normal 5 2 6 2 2 5" xfId="9127"/>
    <cellStyle name="Normal 5 2 6 2 3" xfId="2187"/>
    <cellStyle name="Normal 5 2 6 2 3 2" xfId="6047"/>
    <cellStyle name="Normal 5 2 6 2 3 3" xfId="10963"/>
    <cellStyle name="Normal 5 2 6 2 4" xfId="3415"/>
    <cellStyle name="Normal 5 2 6 2 4 2" xfId="7271"/>
    <cellStyle name="Normal 5 2 6 2 4 3" xfId="9721"/>
    <cellStyle name="Normal 5 2 6 2 5" xfId="4823"/>
    <cellStyle name="Normal 5 2 6 2 6" xfId="8478"/>
    <cellStyle name="Normal 5 2 6 3" xfId="1267"/>
    <cellStyle name="Normal 5 2 6 3 2" xfId="2493"/>
    <cellStyle name="Normal 5 2 6 3 2 2" xfId="6353"/>
    <cellStyle name="Normal 5 2 6 3 2 3" xfId="11305"/>
    <cellStyle name="Normal 5 2 6 3 3" xfId="3721"/>
    <cellStyle name="Normal 5 2 6 3 3 2" xfId="7577"/>
    <cellStyle name="Normal 5 2 6 3 3 3" xfId="10063"/>
    <cellStyle name="Normal 5 2 6 3 4" xfId="5129"/>
    <cellStyle name="Normal 5 2 6 3 5" xfId="8821"/>
    <cellStyle name="Normal 5 2 6 4" xfId="1881"/>
    <cellStyle name="Normal 5 2 6 4 2" xfId="5741"/>
    <cellStyle name="Normal 5 2 6 4 3" xfId="10675"/>
    <cellStyle name="Normal 5 2 6 5" xfId="3108"/>
    <cellStyle name="Normal 5 2 6 5 2" xfId="6965"/>
    <cellStyle name="Normal 5 2 6 5 3" xfId="11881"/>
    <cellStyle name="Normal 5 2 6 6" xfId="4517"/>
    <cellStyle name="Normal 5 2 6 6 2" xfId="9433"/>
    <cellStyle name="Normal 5 2 6 7" xfId="8190"/>
    <cellStyle name="Normal 5 2 7" xfId="495"/>
    <cellStyle name="Normal 5 2 7 2" xfId="845"/>
    <cellStyle name="Normal 5 2 7 2 2" xfId="1483"/>
    <cellStyle name="Normal 5 2 7 2 2 2" xfId="2709"/>
    <cellStyle name="Normal 5 2 7 2 2 2 2" xfId="6569"/>
    <cellStyle name="Normal 5 2 7 2 2 2 3" xfId="11521"/>
    <cellStyle name="Normal 5 2 7 2 2 3" xfId="3937"/>
    <cellStyle name="Normal 5 2 7 2 2 3 2" xfId="7793"/>
    <cellStyle name="Normal 5 2 7 2 2 3 3" xfId="10279"/>
    <cellStyle name="Normal 5 2 7 2 2 4" xfId="5345"/>
    <cellStyle name="Normal 5 2 7 2 2 5" xfId="9037"/>
    <cellStyle name="Normal 5 2 7 2 3" xfId="2097"/>
    <cellStyle name="Normal 5 2 7 2 3 2" xfId="5957"/>
    <cellStyle name="Normal 5 2 7 2 3 3" xfId="10873"/>
    <cellStyle name="Normal 5 2 7 2 4" xfId="3325"/>
    <cellStyle name="Normal 5 2 7 2 4 2" xfId="7181"/>
    <cellStyle name="Normal 5 2 7 2 4 3" xfId="9631"/>
    <cellStyle name="Normal 5 2 7 2 5" xfId="4733"/>
    <cellStyle name="Normal 5 2 7 2 6" xfId="8388"/>
    <cellStyle name="Normal 5 2 7 3" xfId="1177"/>
    <cellStyle name="Normal 5 2 7 3 2" xfId="2403"/>
    <cellStyle name="Normal 5 2 7 3 2 2" xfId="6263"/>
    <cellStyle name="Normal 5 2 7 3 2 3" xfId="11215"/>
    <cellStyle name="Normal 5 2 7 3 3" xfId="3631"/>
    <cellStyle name="Normal 5 2 7 3 3 2" xfId="7487"/>
    <cellStyle name="Normal 5 2 7 3 3 3" xfId="9973"/>
    <cellStyle name="Normal 5 2 7 3 4" xfId="5039"/>
    <cellStyle name="Normal 5 2 7 3 5" xfId="8731"/>
    <cellStyle name="Normal 5 2 7 4" xfId="1791"/>
    <cellStyle name="Normal 5 2 7 4 2" xfId="5651"/>
    <cellStyle name="Normal 5 2 7 4 3" xfId="10585"/>
    <cellStyle name="Normal 5 2 7 5" xfId="3018"/>
    <cellStyle name="Normal 5 2 7 5 2" xfId="6875"/>
    <cellStyle name="Normal 5 2 7 5 3" xfId="12061"/>
    <cellStyle name="Normal 5 2 7 6" xfId="4427"/>
    <cellStyle name="Normal 5 2 7 6 2" xfId="9343"/>
    <cellStyle name="Normal 5 2 7 7" xfId="8100"/>
    <cellStyle name="Normal 5 2 8" xfId="808"/>
    <cellStyle name="Normal 5 2 8 2" xfId="1447"/>
    <cellStyle name="Normal 5 2 8 2 2" xfId="2673"/>
    <cellStyle name="Normal 5 2 8 2 2 2" xfId="6533"/>
    <cellStyle name="Normal 5 2 8 2 2 3" xfId="11485"/>
    <cellStyle name="Normal 5 2 8 2 3" xfId="3901"/>
    <cellStyle name="Normal 5 2 8 2 3 2" xfId="7757"/>
    <cellStyle name="Normal 5 2 8 2 3 3" xfId="10243"/>
    <cellStyle name="Normal 5 2 8 2 4" xfId="5309"/>
    <cellStyle name="Normal 5 2 8 2 5" xfId="9001"/>
    <cellStyle name="Normal 5 2 8 3" xfId="2061"/>
    <cellStyle name="Normal 5 2 8 3 2" xfId="5921"/>
    <cellStyle name="Normal 5 2 8 3 3" xfId="10855"/>
    <cellStyle name="Normal 5 2 8 4" xfId="3289"/>
    <cellStyle name="Normal 5 2 8 4 2" xfId="7145"/>
    <cellStyle name="Normal 5 2 8 4 3" xfId="9613"/>
    <cellStyle name="Normal 5 2 8 5" xfId="4697"/>
    <cellStyle name="Normal 5 2 8 6" xfId="8370"/>
    <cellStyle name="Normal 5 2 9" xfId="1141"/>
    <cellStyle name="Normal 5 2 9 2" xfId="2367"/>
    <cellStyle name="Normal 5 2 9 2 2" xfId="6227"/>
    <cellStyle name="Normal 5 2 9 2 3" xfId="11179"/>
    <cellStyle name="Normal 5 2 9 3" xfId="3595"/>
    <cellStyle name="Normal 5 2 9 3 2" xfId="7451"/>
    <cellStyle name="Normal 5 2 9 3 3" xfId="9937"/>
    <cellStyle name="Normal 5 2 9 4" xfId="5003"/>
    <cellStyle name="Normal 5 2 9 5" xfId="8695"/>
    <cellStyle name="Normal 5 27" xfId="273"/>
    <cellStyle name="Normal 5 27 2" xfId="4297"/>
    <cellStyle name="Normal 5 3" xfId="274"/>
    <cellStyle name="Normal 5 3 10" xfId="2999"/>
    <cellStyle name="Normal 5 3 10 2" xfId="6856"/>
    <cellStyle name="Normal 5 3 10 3" xfId="9324"/>
    <cellStyle name="Normal 5 3 11" xfId="8081"/>
    <cellStyle name="Normal 5 3 2" xfId="589"/>
    <cellStyle name="Normal 5 3 2 2" xfId="770"/>
    <cellStyle name="Normal 5 3 2 2 2" xfId="1120"/>
    <cellStyle name="Normal 5 3 2 2 2 2" xfId="1734"/>
    <cellStyle name="Normal 5 3 2 2 2 2 2" xfId="2960"/>
    <cellStyle name="Normal 5 3 2 2 2 2 2 2" xfId="6820"/>
    <cellStyle name="Normal 5 3 2 2 2 2 2 3" xfId="11772"/>
    <cellStyle name="Normal 5 3 2 2 2 2 3" xfId="4188"/>
    <cellStyle name="Normal 5 3 2 2 2 2 3 2" xfId="8044"/>
    <cellStyle name="Normal 5 3 2 2 2 2 3 3" xfId="10530"/>
    <cellStyle name="Normal 5 3 2 2 2 2 4" xfId="5596"/>
    <cellStyle name="Normal 5 3 2 2 2 2 5" xfId="9288"/>
    <cellStyle name="Normal 5 3 2 2 2 3" xfId="2348"/>
    <cellStyle name="Normal 5 3 2 2 2 3 2" xfId="6208"/>
    <cellStyle name="Normal 5 3 2 2 2 3 3" xfId="11124"/>
    <cellStyle name="Normal 5 3 2 2 2 4" xfId="3576"/>
    <cellStyle name="Normal 5 3 2 2 2 4 2" xfId="7432"/>
    <cellStyle name="Normal 5 3 2 2 2 4 3" xfId="9882"/>
    <cellStyle name="Normal 5 3 2 2 2 5" xfId="4984"/>
    <cellStyle name="Normal 5 3 2 2 2 6" xfId="8639"/>
    <cellStyle name="Normal 5 3 2 2 3" xfId="1428"/>
    <cellStyle name="Normal 5 3 2 2 3 2" xfId="2654"/>
    <cellStyle name="Normal 5 3 2 2 3 2 2" xfId="6514"/>
    <cellStyle name="Normal 5 3 2 2 3 2 3" xfId="11466"/>
    <cellStyle name="Normal 5 3 2 2 3 3" xfId="3882"/>
    <cellStyle name="Normal 5 3 2 2 3 3 2" xfId="7738"/>
    <cellStyle name="Normal 5 3 2 2 3 3 3" xfId="10224"/>
    <cellStyle name="Normal 5 3 2 2 3 4" xfId="5290"/>
    <cellStyle name="Normal 5 3 2 2 3 5" xfId="8982"/>
    <cellStyle name="Normal 5 3 2 2 4" xfId="2042"/>
    <cellStyle name="Normal 5 3 2 2 4 2" xfId="5902"/>
    <cellStyle name="Normal 5 3 2 2 4 3" xfId="10836"/>
    <cellStyle name="Normal 5 3 2 2 5" xfId="3269"/>
    <cellStyle name="Normal 5 3 2 2 5 2" xfId="7126"/>
    <cellStyle name="Normal 5 3 2 2 5 3" xfId="12042"/>
    <cellStyle name="Normal 5 3 2 2 6" xfId="4678"/>
    <cellStyle name="Normal 5 3 2 2 6 2" xfId="9594"/>
    <cellStyle name="Normal 5 3 2 2 7" xfId="8351"/>
    <cellStyle name="Normal 5 3 2 3" xfId="680"/>
    <cellStyle name="Normal 5 3 2 3 2" xfId="1030"/>
    <cellStyle name="Normal 5 3 2 3 2 2" xfId="1644"/>
    <cellStyle name="Normal 5 3 2 3 2 2 2" xfId="2870"/>
    <cellStyle name="Normal 5 3 2 3 2 2 2 2" xfId="6730"/>
    <cellStyle name="Normal 5 3 2 3 2 2 2 3" xfId="11682"/>
    <cellStyle name="Normal 5 3 2 3 2 2 3" xfId="4098"/>
    <cellStyle name="Normal 5 3 2 3 2 2 3 2" xfId="7954"/>
    <cellStyle name="Normal 5 3 2 3 2 2 3 3" xfId="10440"/>
    <cellStyle name="Normal 5 3 2 3 2 2 4" xfId="5506"/>
    <cellStyle name="Normal 5 3 2 3 2 2 5" xfId="9198"/>
    <cellStyle name="Normal 5 3 2 3 2 3" xfId="2258"/>
    <cellStyle name="Normal 5 3 2 3 2 3 2" xfId="6118"/>
    <cellStyle name="Normal 5 3 2 3 2 3 3" xfId="11034"/>
    <cellStyle name="Normal 5 3 2 3 2 4" xfId="3486"/>
    <cellStyle name="Normal 5 3 2 3 2 4 2" xfId="7342"/>
    <cellStyle name="Normal 5 3 2 3 2 4 3" xfId="9792"/>
    <cellStyle name="Normal 5 3 2 3 2 5" xfId="4894"/>
    <cellStyle name="Normal 5 3 2 3 2 6" xfId="8549"/>
    <cellStyle name="Normal 5 3 2 3 3" xfId="1338"/>
    <cellStyle name="Normal 5 3 2 3 3 2" xfId="2564"/>
    <cellStyle name="Normal 5 3 2 3 3 2 2" xfId="6424"/>
    <cellStyle name="Normal 5 3 2 3 3 2 3" xfId="11376"/>
    <cellStyle name="Normal 5 3 2 3 3 3" xfId="3792"/>
    <cellStyle name="Normal 5 3 2 3 3 3 2" xfId="7648"/>
    <cellStyle name="Normal 5 3 2 3 3 3 3" xfId="10134"/>
    <cellStyle name="Normal 5 3 2 3 3 4" xfId="5200"/>
    <cellStyle name="Normal 5 3 2 3 3 5" xfId="8892"/>
    <cellStyle name="Normal 5 3 2 3 4" xfId="1952"/>
    <cellStyle name="Normal 5 3 2 3 4 2" xfId="5812"/>
    <cellStyle name="Normal 5 3 2 3 4 3" xfId="10746"/>
    <cellStyle name="Normal 5 3 2 3 5" xfId="3179"/>
    <cellStyle name="Normal 5 3 2 3 5 2" xfId="7036"/>
    <cellStyle name="Normal 5 3 2 3 5 3" xfId="11952"/>
    <cellStyle name="Normal 5 3 2 3 6" xfId="4588"/>
    <cellStyle name="Normal 5 3 2 3 6 2" xfId="9504"/>
    <cellStyle name="Normal 5 3 2 3 7" xfId="8261"/>
    <cellStyle name="Normal 5 3 2 4" xfId="939"/>
    <cellStyle name="Normal 5 3 2 4 2" xfId="1554"/>
    <cellStyle name="Normal 5 3 2 4 2 2" xfId="2780"/>
    <cellStyle name="Normal 5 3 2 4 2 2 2" xfId="6640"/>
    <cellStyle name="Normal 5 3 2 4 2 2 3" xfId="11592"/>
    <cellStyle name="Normal 5 3 2 4 2 3" xfId="4008"/>
    <cellStyle name="Normal 5 3 2 4 2 3 2" xfId="7864"/>
    <cellStyle name="Normal 5 3 2 4 2 3 3" xfId="10350"/>
    <cellStyle name="Normal 5 3 2 4 2 4" xfId="5416"/>
    <cellStyle name="Normal 5 3 2 4 2 5" xfId="9108"/>
    <cellStyle name="Normal 5 3 2 4 3" xfId="2168"/>
    <cellStyle name="Normal 5 3 2 4 3 2" xfId="6028"/>
    <cellStyle name="Normal 5 3 2 4 3 3" xfId="10944"/>
    <cellStyle name="Normal 5 3 2 4 4" xfId="3396"/>
    <cellStyle name="Normal 5 3 2 4 4 2" xfId="7252"/>
    <cellStyle name="Normal 5 3 2 4 4 3" xfId="9702"/>
    <cellStyle name="Normal 5 3 2 4 5" xfId="4804"/>
    <cellStyle name="Normal 5 3 2 4 6" xfId="8459"/>
    <cellStyle name="Normal 5 3 2 5" xfId="1248"/>
    <cellStyle name="Normal 5 3 2 5 2" xfId="2474"/>
    <cellStyle name="Normal 5 3 2 5 2 2" xfId="6334"/>
    <cellStyle name="Normal 5 3 2 5 2 3" xfId="11286"/>
    <cellStyle name="Normal 5 3 2 5 3" xfId="3702"/>
    <cellStyle name="Normal 5 3 2 5 3 2" xfId="7558"/>
    <cellStyle name="Normal 5 3 2 5 3 3" xfId="10044"/>
    <cellStyle name="Normal 5 3 2 5 4" xfId="5110"/>
    <cellStyle name="Normal 5 3 2 5 5" xfId="8802"/>
    <cellStyle name="Normal 5 3 2 6" xfId="1862"/>
    <cellStyle name="Normal 5 3 2 6 2" xfId="5722"/>
    <cellStyle name="Normal 5 3 2 6 3" xfId="10656"/>
    <cellStyle name="Normal 5 3 2 7" xfId="3089"/>
    <cellStyle name="Normal 5 3 2 7 2" xfId="6946"/>
    <cellStyle name="Normal 5 3 2 7 3" xfId="11862"/>
    <cellStyle name="Normal 5 3 2 8" xfId="4498"/>
    <cellStyle name="Normal 5 3 2 8 2" xfId="9414"/>
    <cellStyle name="Normal 5 3 2 9" xfId="8171"/>
    <cellStyle name="Normal 5 3 3" xfId="734"/>
    <cellStyle name="Normal 5 3 3 2" xfId="1084"/>
    <cellStyle name="Normal 5 3 3 2 2" xfId="1698"/>
    <cellStyle name="Normal 5 3 3 2 2 2" xfId="2924"/>
    <cellStyle name="Normal 5 3 3 2 2 2 2" xfId="6784"/>
    <cellStyle name="Normal 5 3 3 2 2 2 3" xfId="11736"/>
    <cellStyle name="Normal 5 3 3 2 2 3" xfId="4152"/>
    <cellStyle name="Normal 5 3 3 2 2 3 2" xfId="8008"/>
    <cellStyle name="Normal 5 3 3 2 2 3 3" xfId="10494"/>
    <cellStyle name="Normal 5 3 3 2 2 4" xfId="5560"/>
    <cellStyle name="Normal 5 3 3 2 2 5" xfId="9252"/>
    <cellStyle name="Normal 5 3 3 2 3" xfId="2312"/>
    <cellStyle name="Normal 5 3 3 2 3 2" xfId="6172"/>
    <cellStyle name="Normal 5 3 3 2 3 3" xfId="11088"/>
    <cellStyle name="Normal 5 3 3 2 4" xfId="3540"/>
    <cellStyle name="Normal 5 3 3 2 4 2" xfId="7396"/>
    <cellStyle name="Normal 5 3 3 2 4 3" xfId="9846"/>
    <cellStyle name="Normal 5 3 3 2 5" xfId="4948"/>
    <cellStyle name="Normal 5 3 3 2 6" xfId="8603"/>
    <cellStyle name="Normal 5 3 3 3" xfId="1392"/>
    <cellStyle name="Normal 5 3 3 3 2" xfId="2618"/>
    <cellStyle name="Normal 5 3 3 3 2 2" xfId="6478"/>
    <cellStyle name="Normal 5 3 3 3 2 3" xfId="11430"/>
    <cellStyle name="Normal 5 3 3 3 3" xfId="3846"/>
    <cellStyle name="Normal 5 3 3 3 3 2" xfId="7702"/>
    <cellStyle name="Normal 5 3 3 3 3 3" xfId="10188"/>
    <cellStyle name="Normal 5 3 3 3 4" xfId="5254"/>
    <cellStyle name="Normal 5 3 3 3 5" xfId="8946"/>
    <cellStyle name="Normal 5 3 3 4" xfId="2006"/>
    <cellStyle name="Normal 5 3 3 4 2" xfId="5866"/>
    <cellStyle name="Normal 5 3 3 4 3" xfId="10800"/>
    <cellStyle name="Normal 5 3 3 5" xfId="3233"/>
    <cellStyle name="Normal 5 3 3 5 2" xfId="7090"/>
    <cellStyle name="Normal 5 3 3 5 3" xfId="12006"/>
    <cellStyle name="Normal 5 3 3 6" xfId="4642"/>
    <cellStyle name="Normal 5 3 3 6 2" xfId="9558"/>
    <cellStyle name="Normal 5 3 3 7" xfId="8315"/>
    <cellStyle name="Normal 5 3 4" xfId="644"/>
    <cellStyle name="Normal 5 3 4 2" xfId="994"/>
    <cellStyle name="Normal 5 3 4 2 2" xfId="1608"/>
    <cellStyle name="Normal 5 3 4 2 2 2" xfId="2834"/>
    <cellStyle name="Normal 5 3 4 2 2 2 2" xfId="6694"/>
    <cellStyle name="Normal 5 3 4 2 2 2 3" xfId="11646"/>
    <cellStyle name="Normal 5 3 4 2 2 3" xfId="4062"/>
    <cellStyle name="Normal 5 3 4 2 2 3 2" xfId="7918"/>
    <cellStyle name="Normal 5 3 4 2 2 3 3" xfId="10404"/>
    <cellStyle name="Normal 5 3 4 2 2 4" xfId="5470"/>
    <cellStyle name="Normal 5 3 4 2 2 5" xfId="9162"/>
    <cellStyle name="Normal 5 3 4 2 3" xfId="2222"/>
    <cellStyle name="Normal 5 3 4 2 3 2" xfId="6082"/>
    <cellStyle name="Normal 5 3 4 2 3 3" xfId="10998"/>
    <cellStyle name="Normal 5 3 4 2 4" xfId="3450"/>
    <cellStyle name="Normal 5 3 4 2 4 2" xfId="7306"/>
    <cellStyle name="Normal 5 3 4 2 4 3" xfId="9756"/>
    <cellStyle name="Normal 5 3 4 2 5" xfId="4858"/>
    <cellStyle name="Normal 5 3 4 2 6" xfId="8513"/>
    <cellStyle name="Normal 5 3 4 3" xfId="1302"/>
    <cellStyle name="Normal 5 3 4 3 2" xfId="2528"/>
    <cellStyle name="Normal 5 3 4 3 2 2" xfId="6388"/>
    <cellStyle name="Normal 5 3 4 3 2 3" xfId="11340"/>
    <cellStyle name="Normal 5 3 4 3 3" xfId="3756"/>
    <cellStyle name="Normal 5 3 4 3 3 2" xfId="7612"/>
    <cellStyle name="Normal 5 3 4 3 3 3" xfId="10098"/>
    <cellStyle name="Normal 5 3 4 3 4" xfId="5164"/>
    <cellStyle name="Normal 5 3 4 3 5" xfId="8856"/>
    <cellStyle name="Normal 5 3 4 4" xfId="1916"/>
    <cellStyle name="Normal 5 3 4 4 2" xfId="5776"/>
    <cellStyle name="Normal 5 3 4 4 3" xfId="10710"/>
    <cellStyle name="Normal 5 3 4 5" xfId="3143"/>
    <cellStyle name="Normal 5 3 4 5 2" xfId="7000"/>
    <cellStyle name="Normal 5 3 4 5 3" xfId="11916"/>
    <cellStyle name="Normal 5 3 4 6" xfId="4552"/>
    <cellStyle name="Normal 5 3 4 6 2" xfId="9468"/>
    <cellStyle name="Normal 5 3 4 7" xfId="8225"/>
    <cellStyle name="Normal 5 3 5" xfId="551"/>
    <cellStyle name="Normal 5 3 5 2" xfId="901"/>
    <cellStyle name="Normal 5 3 5 2 2" xfId="1518"/>
    <cellStyle name="Normal 5 3 5 2 2 2" xfId="2744"/>
    <cellStyle name="Normal 5 3 5 2 2 2 2" xfId="6604"/>
    <cellStyle name="Normal 5 3 5 2 2 2 3" xfId="11556"/>
    <cellStyle name="Normal 5 3 5 2 2 3" xfId="3972"/>
    <cellStyle name="Normal 5 3 5 2 2 3 2" xfId="7828"/>
    <cellStyle name="Normal 5 3 5 2 2 3 3" xfId="10314"/>
    <cellStyle name="Normal 5 3 5 2 2 4" xfId="5380"/>
    <cellStyle name="Normal 5 3 5 2 2 5" xfId="9072"/>
    <cellStyle name="Normal 5 3 5 2 3" xfId="2132"/>
    <cellStyle name="Normal 5 3 5 2 3 2" xfId="5992"/>
    <cellStyle name="Normal 5 3 5 2 3 3" xfId="11160"/>
    <cellStyle name="Normal 5 3 5 2 4" xfId="3360"/>
    <cellStyle name="Normal 5 3 5 2 4 2" xfId="7216"/>
    <cellStyle name="Normal 5 3 5 2 4 3" xfId="9918"/>
    <cellStyle name="Normal 5 3 5 2 5" xfId="4768"/>
    <cellStyle name="Normal 5 3 5 2 6" xfId="8676"/>
    <cellStyle name="Normal 5 3 5 3" xfId="1212"/>
    <cellStyle name="Normal 5 3 5 3 2" xfId="2438"/>
    <cellStyle name="Normal 5 3 5 3 2 2" xfId="6298"/>
    <cellStyle name="Normal 5 3 5 3 2 3" xfId="11250"/>
    <cellStyle name="Normal 5 3 5 3 3" xfId="3666"/>
    <cellStyle name="Normal 5 3 5 3 3 2" xfId="7522"/>
    <cellStyle name="Normal 5 3 5 3 3 3" xfId="10008"/>
    <cellStyle name="Normal 5 3 5 3 4" xfId="5074"/>
    <cellStyle name="Normal 5 3 5 3 5" xfId="8766"/>
    <cellStyle name="Normal 5 3 5 4" xfId="1826"/>
    <cellStyle name="Normal 5 3 5 4 2" xfId="5686"/>
    <cellStyle name="Normal 5 3 5 4 2 2" xfId="11142"/>
    <cellStyle name="Normal 5 3 5 4 3" xfId="9900"/>
    <cellStyle name="Normal 5 3 5 4 4" xfId="8657"/>
    <cellStyle name="Normal 5 3 5 5" xfId="3053"/>
    <cellStyle name="Normal 5 3 5 5 2" xfId="6910"/>
    <cellStyle name="Normal 5 3 5 5 3" xfId="10620"/>
    <cellStyle name="Normal 5 3 5 6" xfId="4462"/>
    <cellStyle name="Normal 5 3 5 6 2" xfId="9378"/>
    <cellStyle name="Normal 5 3 5 7" xfId="8135"/>
    <cellStyle name="Normal 5 3 6" xfId="826"/>
    <cellStyle name="Normal 5 3 6 2" xfId="1464"/>
    <cellStyle name="Normal 5 3 6 2 2" xfId="2690"/>
    <cellStyle name="Normal 5 3 6 2 2 2" xfId="6550"/>
    <cellStyle name="Normal 5 3 6 2 2 3" xfId="11502"/>
    <cellStyle name="Normal 5 3 6 2 3" xfId="3918"/>
    <cellStyle name="Normal 5 3 6 2 3 2" xfId="7774"/>
    <cellStyle name="Normal 5 3 6 2 3 3" xfId="10260"/>
    <cellStyle name="Normal 5 3 6 2 4" xfId="5326"/>
    <cellStyle name="Normal 5 3 6 2 5" xfId="9018"/>
    <cellStyle name="Normal 5 3 6 3" xfId="2078"/>
    <cellStyle name="Normal 5 3 6 3 2" xfId="5938"/>
    <cellStyle name="Normal 5 3 6 3 3" xfId="10908"/>
    <cellStyle name="Normal 5 3 6 4" xfId="3306"/>
    <cellStyle name="Normal 5 3 6 4 2" xfId="7162"/>
    <cellStyle name="Normal 5 3 6 4 3" xfId="9666"/>
    <cellStyle name="Normal 5 3 6 5" xfId="4714"/>
    <cellStyle name="Normal 5 3 6 6" xfId="8423"/>
    <cellStyle name="Normal 5 3 7" xfId="1158"/>
    <cellStyle name="Normal 5 3 7 2" xfId="2384"/>
    <cellStyle name="Normal 5 3 7 2 2" xfId="6244"/>
    <cellStyle name="Normal 5 3 7 2 3" xfId="11196"/>
    <cellStyle name="Normal 5 3 7 3" xfId="3612"/>
    <cellStyle name="Normal 5 3 7 3 2" xfId="7468"/>
    <cellStyle name="Normal 5 3 7 3 3" xfId="9954"/>
    <cellStyle name="Normal 5 3 7 4" xfId="5020"/>
    <cellStyle name="Normal 5 3 7 5" xfId="8712"/>
    <cellStyle name="Normal 5 3 8" xfId="476"/>
    <cellStyle name="Normal 5 3 8 2" xfId="4408"/>
    <cellStyle name="Normal 5 3 8 3" xfId="10566"/>
    <cellStyle name="Normal 5 3 9" xfId="1772"/>
    <cellStyle name="Normal 5 3 9 2" xfId="5632"/>
    <cellStyle name="Normal 5 3 9 3" xfId="11826"/>
    <cellStyle name="Normal 5 4" xfId="275"/>
    <cellStyle name="Normal 5 4 2" xfId="752"/>
    <cellStyle name="Normal 5 4 2 2" xfId="1102"/>
    <cellStyle name="Normal 5 4 2 2 2" xfId="1716"/>
    <cellStyle name="Normal 5 4 2 2 2 2" xfId="2942"/>
    <cellStyle name="Normal 5 4 2 2 2 2 2" xfId="6802"/>
    <cellStyle name="Normal 5 4 2 2 2 2 3" xfId="11754"/>
    <cellStyle name="Normal 5 4 2 2 2 3" xfId="4170"/>
    <cellStyle name="Normal 5 4 2 2 2 3 2" xfId="8026"/>
    <cellStyle name="Normal 5 4 2 2 2 3 3" xfId="10512"/>
    <cellStyle name="Normal 5 4 2 2 2 4" xfId="5578"/>
    <cellStyle name="Normal 5 4 2 2 2 5" xfId="9270"/>
    <cellStyle name="Normal 5 4 2 2 3" xfId="2330"/>
    <cellStyle name="Normal 5 4 2 2 3 2" xfId="6190"/>
    <cellStyle name="Normal 5 4 2 2 3 3" xfId="11106"/>
    <cellStyle name="Normal 5 4 2 2 4" xfId="3558"/>
    <cellStyle name="Normal 5 4 2 2 4 2" xfId="7414"/>
    <cellStyle name="Normal 5 4 2 2 4 3" xfId="9864"/>
    <cellStyle name="Normal 5 4 2 2 5" xfId="4966"/>
    <cellStyle name="Normal 5 4 2 2 6" xfId="8621"/>
    <cellStyle name="Normal 5 4 2 3" xfId="1410"/>
    <cellStyle name="Normal 5 4 2 3 2" xfId="2636"/>
    <cellStyle name="Normal 5 4 2 3 2 2" xfId="6496"/>
    <cellStyle name="Normal 5 4 2 3 2 3" xfId="11448"/>
    <cellStyle name="Normal 5 4 2 3 3" xfId="3864"/>
    <cellStyle name="Normal 5 4 2 3 3 2" xfId="7720"/>
    <cellStyle name="Normal 5 4 2 3 3 3" xfId="10206"/>
    <cellStyle name="Normal 5 4 2 3 4" xfId="5272"/>
    <cellStyle name="Normal 5 4 2 3 5" xfId="8964"/>
    <cellStyle name="Normal 5 4 2 4" xfId="2024"/>
    <cellStyle name="Normal 5 4 2 4 2" xfId="5884"/>
    <cellStyle name="Normal 5 4 2 4 3" xfId="10818"/>
    <cellStyle name="Normal 5 4 2 5" xfId="3251"/>
    <cellStyle name="Normal 5 4 2 5 2" xfId="7108"/>
    <cellStyle name="Normal 5 4 2 5 3" xfId="12024"/>
    <cellStyle name="Normal 5 4 2 6" xfId="4660"/>
    <cellStyle name="Normal 5 4 2 6 2" xfId="9576"/>
    <cellStyle name="Normal 5 4 2 7" xfId="8333"/>
    <cellStyle name="Normal 5 4 3" xfId="662"/>
    <cellStyle name="Normal 5 4 3 2" xfId="1012"/>
    <cellStyle name="Normal 5 4 3 2 2" xfId="1626"/>
    <cellStyle name="Normal 5 4 3 2 2 2" xfId="2852"/>
    <cellStyle name="Normal 5 4 3 2 2 2 2" xfId="6712"/>
    <cellStyle name="Normal 5 4 3 2 2 2 3" xfId="11664"/>
    <cellStyle name="Normal 5 4 3 2 2 3" xfId="4080"/>
    <cellStyle name="Normal 5 4 3 2 2 3 2" xfId="7936"/>
    <cellStyle name="Normal 5 4 3 2 2 3 3" xfId="10422"/>
    <cellStyle name="Normal 5 4 3 2 2 4" xfId="5488"/>
    <cellStyle name="Normal 5 4 3 2 2 5" xfId="9180"/>
    <cellStyle name="Normal 5 4 3 2 3" xfId="2240"/>
    <cellStyle name="Normal 5 4 3 2 3 2" xfId="6100"/>
    <cellStyle name="Normal 5 4 3 2 3 3" xfId="11016"/>
    <cellStyle name="Normal 5 4 3 2 4" xfId="3468"/>
    <cellStyle name="Normal 5 4 3 2 4 2" xfId="7324"/>
    <cellStyle name="Normal 5 4 3 2 4 3" xfId="9774"/>
    <cellStyle name="Normal 5 4 3 2 5" xfId="4876"/>
    <cellStyle name="Normal 5 4 3 2 6" xfId="8531"/>
    <cellStyle name="Normal 5 4 3 3" xfId="1320"/>
    <cellStyle name="Normal 5 4 3 3 2" xfId="2546"/>
    <cellStyle name="Normal 5 4 3 3 2 2" xfId="6406"/>
    <cellStyle name="Normal 5 4 3 3 2 3" xfId="11358"/>
    <cellStyle name="Normal 5 4 3 3 3" xfId="3774"/>
    <cellStyle name="Normal 5 4 3 3 3 2" xfId="7630"/>
    <cellStyle name="Normal 5 4 3 3 3 3" xfId="10116"/>
    <cellStyle name="Normal 5 4 3 3 4" xfId="5182"/>
    <cellStyle name="Normal 5 4 3 3 5" xfId="8874"/>
    <cellStyle name="Normal 5 4 3 4" xfId="1934"/>
    <cellStyle name="Normal 5 4 3 4 2" xfId="5794"/>
    <cellStyle name="Normal 5 4 3 4 3" xfId="10728"/>
    <cellStyle name="Normal 5 4 3 5" xfId="3161"/>
    <cellStyle name="Normal 5 4 3 5 2" xfId="7018"/>
    <cellStyle name="Normal 5 4 3 5 3" xfId="11934"/>
    <cellStyle name="Normal 5 4 3 6" xfId="4570"/>
    <cellStyle name="Normal 5 4 3 6 2" xfId="9486"/>
    <cellStyle name="Normal 5 4 3 7" xfId="8243"/>
    <cellStyle name="Normal 5 4 4" xfId="921"/>
    <cellStyle name="Normal 5 4 4 2" xfId="1536"/>
    <cellStyle name="Normal 5 4 4 2 2" xfId="2762"/>
    <cellStyle name="Normal 5 4 4 2 2 2" xfId="6622"/>
    <cellStyle name="Normal 5 4 4 2 2 3" xfId="11574"/>
    <cellStyle name="Normal 5 4 4 2 3" xfId="3990"/>
    <cellStyle name="Normal 5 4 4 2 3 2" xfId="7846"/>
    <cellStyle name="Normal 5 4 4 2 3 3" xfId="10332"/>
    <cellStyle name="Normal 5 4 4 2 4" xfId="5398"/>
    <cellStyle name="Normal 5 4 4 2 5" xfId="9090"/>
    <cellStyle name="Normal 5 4 4 3" xfId="2150"/>
    <cellStyle name="Normal 5 4 4 3 2" xfId="6010"/>
    <cellStyle name="Normal 5 4 4 3 3" xfId="10926"/>
    <cellStyle name="Normal 5 4 4 4" xfId="3378"/>
    <cellStyle name="Normal 5 4 4 4 2" xfId="7234"/>
    <cellStyle name="Normal 5 4 4 4 3" xfId="9684"/>
    <cellStyle name="Normal 5 4 4 5" xfId="4786"/>
    <cellStyle name="Normal 5 4 4 6" xfId="8441"/>
    <cellStyle name="Normal 5 4 5" xfId="1230"/>
    <cellStyle name="Normal 5 4 5 2" xfId="2456"/>
    <cellStyle name="Normal 5 4 5 2 2" xfId="6316"/>
    <cellStyle name="Normal 5 4 5 2 3" xfId="11268"/>
    <cellStyle name="Normal 5 4 5 3" xfId="3684"/>
    <cellStyle name="Normal 5 4 5 3 2" xfId="7540"/>
    <cellStyle name="Normal 5 4 5 3 3" xfId="10026"/>
    <cellStyle name="Normal 5 4 5 4" xfId="5092"/>
    <cellStyle name="Normal 5 4 5 5" xfId="8784"/>
    <cellStyle name="Normal 5 4 6" xfId="571"/>
    <cellStyle name="Normal 5 4 6 2" xfId="4480"/>
    <cellStyle name="Normal 5 4 6 3" xfId="10638"/>
    <cellStyle name="Normal 5 4 7" xfId="1844"/>
    <cellStyle name="Normal 5 4 7 2" xfId="5704"/>
    <cellStyle name="Normal 5 4 7 3" xfId="11844"/>
    <cellStyle name="Normal 5 4 8" xfId="3071"/>
    <cellStyle name="Normal 5 4 8 2" xfId="6928"/>
    <cellStyle name="Normal 5 4 8 3" xfId="9396"/>
    <cellStyle name="Normal 5 4 9" xfId="8153"/>
    <cellStyle name="Normal 5 5" xfId="514"/>
    <cellStyle name="Normal 5 5 2" xfId="716"/>
    <cellStyle name="Normal 5 5 2 2" xfId="1066"/>
    <cellStyle name="Normal 5 5 2 2 2" xfId="1680"/>
    <cellStyle name="Normal 5 5 2 2 2 2" xfId="2906"/>
    <cellStyle name="Normal 5 5 2 2 2 2 2" xfId="6766"/>
    <cellStyle name="Normal 5 5 2 2 2 2 3" xfId="11718"/>
    <cellStyle name="Normal 5 5 2 2 2 3" xfId="4134"/>
    <cellStyle name="Normal 5 5 2 2 2 3 2" xfId="7990"/>
    <cellStyle name="Normal 5 5 2 2 2 3 3" xfId="10476"/>
    <cellStyle name="Normal 5 5 2 2 2 4" xfId="5542"/>
    <cellStyle name="Normal 5 5 2 2 2 5" xfId="9234"/>
    <cellStyle name="Normal 5 5 2 2 3" xfId="2294"/>
    <cellStyle name="Normal 5 5 2 2 3 2" xfId="6154"/>
    <cellStyle name="Normal 5 5 2 2 3 3" xfId="11070"/>
    <cellStyle name="Normal 5 5 2 2 4" xfId="3522"/>
    <cellStyle name="Normal 5 5 2 2 4 2" xfId="7378"/>
    <cellStyle name="Normal 5 5 2 2 4 3" xfId="9828"/>
    <cellStyle name="Normal 5 5 2 2 5" xfId="4930"/>
    <cellStyle name="Normal 5 5 2 2 6" xfId="8585"/>
    <cellStyle name="Normal 5 5 2 3" xfId="1374"/>
    <cellStyle name="Normal 5 5 2 3 2" xfId="2600"/>
    <cellStyle name="Normal 5 5 2 3 2 2" xfId="6460"/>
    <cellStyle name="Normal 5 5 2 3 2 3" xfId="11412"/>
    <cellStyle name="Normal 5 5 2 3 3" xfId="3828"/>
    <cellStyle name="Normal 5 5 2 3 3 2" xfId="7684"/>
    <cellStyle name="Normal 5 5 2 3 3 3" xfId="10170"/>
    <cellStyle name="Normal 5 5 2 3 4" xfId="5236"/>
    <cellStyle name="Normal 5 5 2 3 5" xfId="8928"/>
    <cellStyle name="Normal 5 5 2 4" xfId="1988"/>
    <cellStyle name="Normal 5 5 2 4 2" xfId="5848"/>
    <cellStyle name="Normal 5 5 2 4 3" xfId="10782"/>
    <cellStyle name="Normal 5 5 2 5" xfId="3215"/>
    <cellStyle name="Normal 5 5 2 5 2" xfId="7072"/>
    <cellStyle name="Normal 5 5 2 5 3" xfId="11988"/>
    <cellStyle name="Normal 5 5 2 6" xfId="4624"/>
    <cellStyle name="Normal 5 5 2 6 2" xfId="9540"/>
    <cellStyle name="Normal 5 5 2 7" xfId="8297"/>
    <cellStyle name="Normal 5 5 3" xfId="626"/>
    <cellStyle name="Normal 5 5 3 2" xfId="976"/>
    <cellStyle name="Normal 5 5 3 2 2" xfId="1590"/>
    <cellStyle name="Normal 5 5 3 2 2 2" xfId="2816"/>
    <cellStyle name="Normal 5 5 3 2 2 2 2" xfId="6676"/>
    <cellStyle name="Normal 5 5 3 2 2 2 3" xfId="11628"/>
    <cellStyle name="Normal 5 5 3 2 2 3" xfId="4044"/>
    <cellStyle name="Normal 5 5 3 2 2 3 2" xfId="7900"/>
    <cellStyle name="Normal 5 5 3 2 2 3 3" xfId="10386"/>
    <cellStyle name="Normal 5 5 3 2 2 4" xfId="5452"/>
    <cellStyle name="Normal 5 5 3 2 2 5" xfId="9144"/>
    <cellStyle name="Normal 5 5 3 2 3" xfId="2204"/>
    <cellStyle name="Normal 5 5 3 2 3 2" xfId="6064"/>
    <cellStyle name="Normal 5 5 3 2 3 3" xfId="10980"/>
    <cellStyle name="Normal 5 5 3 2 4" xfId="3432"/>
    <cellStyle name="Normal 5 5 3 2 4 2" xfId="7288"/>
    <cellStyle name="Normal 5 5 3 2 4 3" xfId="9738"/>
    <cellStyle name="Normal 5 5 3 2 5" xfId="4840"/>
    <cellStyle name="Normal 5 5 3 2 6" xfId="8495"/>
    <cellStyle name="Normal 5 5 3 3" xfId="1284"/>
    <cellStyle name="Normal 5 5 3 3 2" xfId="2510"/>
    <cellStyle name="Normal 5 5 3 3 2 2" xfId="6370"/>
    <cellStyle name="Normal 5 5 3 3 2 3" xfId="11322"/>
    <cellStyle name="Normal 5 5 3 3 3" xfId="3738"/>
    <cellStyle name="Normal 5 5 3 3 3 2" xfId="7594"/>
    <cellStyle name="Normal 5 5 3 3 3 3" xfId="10080"/>
    <cellStyle name="Normal 5 5 3 3 4" xfId="5146"/>
    <cellStyle name="Normal 5 5 3 3 5" xfId="8838"/>
    <cellStyle name="Normal 5 5 3 4" xfId="1898"/>
    <cellStyle name="Normal 5 5 3 4 2" xfId="5758"/>
    <cellStyle name="Normal 5 5 3 4 3" xfId="10692"/>
    <cellStyle name="Normal 5 5 3 5" xfId="3125"/>
    <cellStyle name="Normal 5 5 3 5 2" xfId="6982"/>
    <cellStyle name="Normal 5 5 3 5 3" xfId="11898"/>
    <cellStyle name="Normal 5 5 3 6" xfId="4534"/>
    <cellStyle name="Normal 5 5 3 6 2" xfId="9450"/>
    <cellStyle name="Normal 5 5 3 7" xfId="8207"/>
    <cellStyle name="Normal 5 5 4" xfId="864"/>
    <cellStyle name="Normal 5 5 4 2" xfId="1500"/>
    <cellStyle name="Normal 5 5 4 2 2" xfId="2726"/>
    <cellStyle name="Normal 5 5 4 2 2 2" xfId="6586"/>
    <cellStyle name="Normal 5 5 4 2 2 3" xfId="11538"/>
    <cellStyle name="Normal 5 5 4 2 3" xfId="3954"/>
    <cellStyle name="Normal 5 5 4 2 3 2" xfId="7810"/>
    <cellStyle name="Normal 5 5 4 2 3 3" xfId="10296"/>
    <cellStyle name="Normal 5 5 4 2 4" xfId="5362"/>
    <cellStyle name="Normal 5 5 4 2 5" xfId="9054"/>
    <cellStyle name="Normal 5 5 4 3" xfId="2114"/>
    <cellStyle name="Normal 5 5 4 3 2" xfId="5974"/>
    <cellStyle name="Normal 5 5 4 3 3" xfId="10890"/>
    <cellStyle name="Normal 5 5 4 4" xfId="3342"/>
    <cellStyle name="Normal 5 5 4 4 2" xfId="7198"/>
    <cellStyle name="Normal 5 5 4 4 3" xfId="9648"/>
    <cellStyle name="Normal 5 5 4 5" xfId="4750"/>
    <cellStyle name="Normal 5 5 4 6" xfId="8405"/>
    <cellStyle name="Normal 5 5 5" xfId="1194"/>
    <cellStyle name="Normal 5 5 5 2" xfId="2420"/>
    <cellStyle name="Normal 5 5 5 2 2" xfId="6280"/>
    <cellStyle name="Normal 5 5 5 2 3" xfId="11232"/>
    <cellStyle name="Normal 5 5 5 3" xfId="3648"/>
    <cellStyle name="Normal 5 5 5 3 2" xfId="7504"/>
    <cellStyle name="Normal 5 5 5 3 3" xfId="9990"/>
    <cellStyle name="Normal 5 5 5 4" xfId="5056"/>
    <cellStyle name="Normal 5 5 5 5" xfId="8748"/>
    <cellStyle name="Normal 5 5 6" xfId="1808"/>
    <cellStyle name="Normal 5 5 6 2" xfId="5668"/>
    <cellStyle name="Normal 5 5 6 3" xfId="10602"/>
    <cellStyle name="Normal 5 5 7" xfId="3035"/>
    <cellStyle name="Normal 5 5 7 2" xfId="6892"/>
    <cellStyle name="Normal 5 5 7 3" xfId="11808"/>
    <cellStyle name="Normal 5 5 8" xfId="4444"/>
    <cellStyle name="Normal 5 5 8 2" xfId="9360"/>
    <cellStyle name="Normal 5 5 9" xfId="8117"/>
    <cellStyle name="Normal 5 6" xfId="698"/>
    <cellStyle name="Normal 5 6 2" xfId="1048"/>
    <cellStyle name="Normal 5 6 2 2" xfId="1662"/>
    <cellStyle name="Normal 5 6 2 2 2" xfId="2888"/>
    <cellStyle name="Normal 5 6 2 2 2 2" xfId="6748"/>
    <cellStyle name="Normal 5 6 2 2 2 3" xfId="11700"/>
    <cellStyle name="Normal 5 6 2 2 3" xfId="4116"/>
    <cellStyle name="Normal 5 6 2 2 3 2" xfId="7972"/>
    <cellStyle name="Normal 5 6 2 2 3 3" xfId="10458"/>
    <cellStyle name="Normal 5 6 2 2 4" xfId="5524"/>
    <cellStyle name="Normal 5 6 2 2 5" xfId="9216"/>
    <cellStyle name="Normal 5 6 2 3" xfId="2276"/>
    <cellStyle name="Normal 5 6 2 3 2" xfId="6136"/>
    <cellStyle name="Normal 5 6 2 3 3" xfId="11052"/>
    <cellStyle name="Normal 5 6 2 4" xfId="3504"/>
    <cellStyle name="Normal 5 6 2 4 2" xfId="7360"/>
    <cellStyle name="Normal 5 6 2 4 3" xfId="9810"/>
    <cellStyle name="Normal 5 6 2 5" xfId="4912"/>
    <cellStyle name="Normal 5 6 2 6" xfId="8567"/>
    <cellStyle name="Normal 5 6 3" xfId="1356"/>
    <cellStyle name="Normal 5 6 3 2" xfId="2582"/>
    <cellStyle name="Normal 5 6 3 2 2" xfId="6442"/>
    <cellStyle name="Normal 5 6 3 2 3" xfId="11394"/>
    <cellStyle name="Normal 5 6 3 3" xfId="3810"/>
    <cellStyle name="Normal 5 6 3 3 2" xfId="7666"/>
    <cellStyle name="Normal 5 6 3 3 3" xfId="10152"/>
    <cellStyle name="Normal 5 6 3 4" xfId="5218"/>
    <cellStyle name="Normal 5 6 3 5" xfId="8910"/>
    <cellStyle name="Normal 5 6 4" xfId="1970"/>
    <cellStyle name="Normal 5 6 4 2" xfId="5830"/>
    <cellStyle name="Normal 5 6 4 3" xfId="10764"/>
    <cellStyle name="Normal 5 6 5" xfId="3197"/>
    <cellStyle name="Normal 5 6 5 2" xfId="7054"/>
    <cellStyle name="Normal 5 6 5 3" xfId="11970"/>
    <cellStyle name="Normal 5 6 6" xfId="4606"/>
    <cellStyle name="Normal 5 6 6 2" xfId="9522"/>
    <cellStyle name="Normal 5 6 7" xfId="8279"/>
    <cellStyle name="Normal 5 7" xfId="608"/>
    <cellStyle name="Normal 5 7 2" xfId="958"/>
    <cellStyle name="Normal 5 7 2 2" xfId="1572"/>
    <cellStyle name="Normal 5 7 2 2 2" xfId="2798"/>
    <cellStyle name="Normal 5 7 2 2 2 2" xfId="6658"/>
    <cellStyle name="Normal 5 7 2 2 2 3" xfId="11610"/>
    <cellStyle name="Normal 5 7 2 2 3" xfId="4026"/>
    <cellStyle name="Normal 5 7 2 2 3 2" xfId="7882"/>
    <cellStyle name="Normal 5 7 2 2 3 3" xfId="10368"/>
    <cellStyle name="Normal 5 7 2 2 4" xfId="5434"/>
    <cellStyle name="Normal 5 7 2 2 5" xfId="9126"/>
    <cellStyle name="Normal 5 7 2 3" xfId="2186"/>
    <cellStyle name="Normal 5 7 2 3 2" xfId="6046"/>
    <cellStyle name="Normal 5 7 2 3 3" xfId="10962"/>
    <cellStyle name="Normal 5 7 2 4" xfId="3414"/>
    <cellStyle name="Normal 5 7 2 4 2" xfId="7270"/>
    <cellStyle name="Normal 5 7 2 4 3" xfId="9720"/>
    <cellStyle name="Normal 5 7 2 5" xfId="4822"/>
    <cellStyle name="Normal 5 7 2 6" xfId="8477"/>
    <cellStyle name="Normal 5 7 3" xfId="1266"/>
    <cellStyle name="Normal 5 7 3 2" xfId="2492"/>
    <cellStyle name="Normal 5 7 3 2 2" xfId="6352"/>
    <cellStyle name="Normal 5 7 3 2 3" xfId="11304"/>
    <cellStyle name="Normal 5 7 3 3" xfId="3720"/>
    <cellStyle name="Normal 5 7 3 3 2" xfId="7576"/>
    <cellStyle name="Normal 5 7 3 3 3" xfId="10062"/>
    <cellStyle name="Normal 5 7 3 4" xfId="5128"/>
    <cellStyle name="Normal 5 7 3 5" xfId="8820"/>
    <cellStyle name="Normal 5 7 4" xfId="1880"/>
    <cellStyle name="Normal 5 7 4 2" xfId="5740"/>
    <cellStyle name="Normal 5 7 4 3" xfId="10674"/>
    <cellStyle name="Normal 5 7 5" xfId="3107"/>
    <cellStyle name="Normal 5 7 5 2" xfId="6964"/>
    <cellStyle name="Normal 5 7 5 3" xfId="11880"/>
    <cellStyle name="Normal 5 7 6" xfId="4516"/>
    <cellStyle name="Normal 5 7 6 2" xfId="9432"/>
    <cellStyle name="Normal 5 7 7" xfId="8189"/>
    <cellStyle name="Normal 5 8" xfId="494"/>
    <cellStyle name="Normal 5 8 2" xfId="844"/>
    <cellStyle name="Normal 5 8 2 2" xfId="1482"/>
    <cellStyle name="Normal 5 8 2 2 2" xfId="2708"/>
    <cellStyle name="Normal 5 8 2 2 2 2" xfId="6568"/>
    <cellStyle name="Normal 5 8 2 2 2 3" xfId="11520"/>
    <cellStyle name="Normal 5 8 2 2 3" xfId="3936"/>
    <cellStyle name="Normal 5 8 2 2 3 2" xfId="7792"/>
    <cellStyle name="Normal 5 8 2 2 3 3" xfId="10278"/>
    <cellStyle name="Normal 5 8 2 2 4" xfId="5344"/>
    <cellStyle name="Normal 5 8 2 2 5" xfId="9036"/>
    <cellStyle name="Normal 5 8 2 3" xfId="2096"/>
    <cellStyle name="Normal 5 8 2 3 2" xfId="5956"/>
    <cellStyle name="Normal 5 8 2 3 3" xfId="10872"/>
    <cellStyle name="Normal 5 8 2 4" xfId="3324"/>
    <cellStyle name="Normal 5 8 2 4 2" xfId="7180"/>
    <cellStyle name="Normal 5 8 2 4 3" xfId="9630"/>
    <cellStyle name="Normal 5 8 2 5" xfId="4732"/>
    <cellStyle name="Normal 5 8 2 6" xfId="8387"/>
    <cellStyle name="Normal 5 8 3" xfId="1176"/>
    <cellStyle name="Normal 5 8 3 2" xfId="2402"/>
    <cellStyle name="Normal 5 8 3 2 2" xfId="6262"/>
    <cellStyle name="Normal 5 8 3 2 3" xfId="11214"/>
    <cellStyle name="Normal 5 8 3 3" xfId="3630"/>
    <cellStyle name="Normal 5 8 3 3 2" xfId="7486"/>
    <cellStyle name="Normal 5 8 3 3 3" xfId="9972"/>
    <cellStyle name="Normal 5 8 3 4" xfId="5038"/>
    <cellStyle name="Normal 5 8 3 5" xfId="8730"/>
    <cellStyle name="Normal 5 8 4" xfId="1790"/>
    <cellStyle name="Normal 5 8 4 2" xfId="5650"/>
    <cellStyle name="Normal 5 8 4 3" xfId="10584"/>
    <cellStyle name="Normal 5 8 5" xfId="3017"/>
    <cellStyle name="Normal 5 8 5 2" xfId="6874"/>
    <cellStyle name="Normal 5 8 5 3" xfId="12060"/>
    <cellStyle name="Normal 5 8 6" xfId="4426"/>
    <cellStyle name="Normal 5 8 6 2" xfId="9342"/>
    <cellStyle name="Normal 5 8 7" xfId="8099"/>
    <cellStyle name="Normal 5 9" xfId="807"/>
    <cellStyle name="Normal 5 9 2" xfId="1446"/>
    <cellStyle name="Normal 5 9 2 2" xfId="2672"/>
    <cellStyle name="Normal 5 9 2 2 2" xfId="6532"/>
    <cellStyle name="Normal 5 9 2 2 3" xfId="11484"/>
    <cellStyle name="Normal 5 9 2 3" xfId="3900"/>
    <cellStyle name="Normal 5 9 2 3 2" xfId="7756"/>
    <cellStyle name="Normal 5 9 2 3 3" xfId="10242"/>
    <cellStyle name="Normal 5 9 2 4" xfId="5308"/>
    <cellStyle name="Normal 5 9 2 5" xfId="9000"/>
    <cellStyle name="Normal 5 9 3" xfId="2060"/>
    <cellStyle name="Normal 5 9 3 2" xfId="5920"/>
    <cellStyle name="Normal 5 9 3 3" xfId="10854"/>
    <cellStyle name="Normal 5 9 4" xfId="3288"/>
    <cellStyle name="Normal 5 9 4 2" xfId="7144"/>
    <cellStyle name="Normal 5 9 4 3" xfId="9612"/>
    <cellStyle name="Normal 5 9 5" xfId="4696"/>
    <cellStyle name="Normal 5 9 6" xfId="8369"/>
    <cellStyle name="Normal 50" xfId="276"/>
    <cellStyle name="Normal 51" xfId="277"/>
    <cellStyle name="Normal 51 2" xfId="278"/>
    <cellStyle name="Normal 52" xfId="279"/>
    <cellStyle name="Normal 53" xfId="280"/>
    <cellStyle name="Normal 54" xfId="281"/>
    <cellStyle name="Normal 55" xfId="282"/>
    <cellStyle name="Normal 55 2" xfId="283"/>
    <cellStyle name="Normal 56" xfId="284"/>
    <cellStyle name="Normal 56 2" xfId="285"/>
    <cellStyle name="Normal 57" xfId="286"/>
    <cellStyle name="Normal 57 2" xfId="287"/>
    <cellStyle name="Normal 58" xfId="288"/>
    <cellStyle name="Normal 58 2" xfId="4298"/>
    <cellStyle name="Normal 59" xfId="289"/>
    <cellStyle name="Normal 59 2" xfId="4299"/>
    <cellStyle name="Normal 6" xfId="290"/>
    <cellStyle name="Normal 6 10" xfId="424"/>
    <cellStyle name="Normal 6 10 2" xfId="4374"/>
    <cellStyle name="Normal 6 10 3" xfId="10532"/>
    <cellStyle name="Normal 6 11" xfId="1738"/>
    <cellStyle name="Normal 6 11 2" xfId="5598"/>
    <cellStyle name="Normal 6 11 3" xfId="11774"/>
    <cellStyle name="Normal 6 12" xfId="2965"/>
    <cellStyle name="Normal 6 12 2" xfId="6822"/>
    <cellStyle name="Normal 6 12 3" xfId="9290"/>
    <cellStyle name="Normal 6 13" xfId="4300"/>
    <cellStyle name="Normal 6 14" xfId="8047"/>
    <cellStyle name="Normal 6 2" xfId="291"/>
    <cellStyle name="Normal 6 2 10" xfId="2983"/>
    <cellStyle name="Normal 6 2 10 2" xfId="6840"/>
    <cellStyle name="Normal 6 2 10 3" xfId="9308"/>
    <cellStyle name="Normal 6 2 11" xfId="4301"/>
    <cellStyle name="Normal 6 2 12" xfId="8065"/>
    <cellStyle name="Normal 6 2 2" xfId="292"/>
    <cellStyle name="Normal 6 2 2 10" xfId="8155"/>
    <cellStyle name="Normal 6 2 2 2" xfId="293"/>
    <cellStyle name="Normal 6 2 2 2 2" xfId="1104"/>
    <cellStyle name="Normal 6 2 2 2 2 2" xfId="1718"/>
    <cellStyle name="Normal 6 2 2 2 2 2 2" xfId="2944"/>
    <cellStyle name="Normal 6 2 2 2 2 2 2 2" xfId="6804"/>
    <cellStyle name="Normal 6 2 2 2 2 2 2 3" xfId="11756"/>
    <cellStyle name="Normal 6 2 2 2 2 2 3" xfId="4172"/>
    <cellStyle name="Normal 6 2 2 2 2 2 3 2" xfId="8028"/>
    <cellStyle name="Normal 6 2 2 2 2 2 3 3" xfId="10514"/>
    <cellStyle name="Normal 6 2 2 2 2 2 4" xfId="5580"/>
    <cellStyle name="Normal 6 2 2 2 2 2 5" xfId="9272"/>
    <cellStyle name="Normal 6 2 2 2 2 3" xfId="2332"/>
    <cellStyle name="Normal 6 2 2 2 2 3 2" xfId="6192"/>
    <cellStyle name="Normal 6 2 2 2 2 3 3" xfId="11108"/>
    <cellStyle name="Normal 6 2 2 2 2 4" xfId="3560"/>
    <cellStyle name="Normal 6 2 2 2 2 4 2" xfId="7416"/>
    <cellStyle name="Normal 6 2 2 2 2 4 3" xfId="9866"/>
    <cellStyle name="Normal 6 2 2 2 2 5" xfId="4968"/>
    <cellStyle name="Normal 6 2 2 2 2 6" xfId="8623"/>
    <cellStyle name="Normal 6 2 2 2 3" xfId="1412"/>
    <cellStyle name="Normal 6 2 2 2 3 2" xfId="2638"/>
    <cellStyle name="Normal 6 2 2 2 3 2 2" xfId="6498"/>
    <cellStyle name="Normal 6 2 2 2 3 2 3" xfId="11450"/>
    <cellStyle name="Normal 6 2 2 2 3 3" xfId="3866"/>
    <cellStyle name="Normal 6 2 2 2 3 3 2" xfId="7722"/>
    <cellStyle name="Normal 6 2 2 2 3 3 3" xfId="10208"/>
    <cellStyle name="Normal 6 2 2 2 3 4" xfId="5274"/>
    <cellStyle name="Normal 6 2 2 2 3 5" xfId="8966"/>
    <cellStyle name="Normal 6 2 2 2 4" xfId="754"/>
    <cellStyle name="Normal 6 2 2 2 4 2" xfId="4662"/>
    <cellStyle name="Normal 6 2 2 2 4 3" xfId="10820"/>
    <cellStyle name="Normal 6 2 2 2 5" xfId="2026"/>
    <cellStyle name="Normal 6 2 2 2 5 2" xfId="5886"/>
    <cellStyle name="Normal 6 2 2 2 5 3" xfId="12026"/>
    <cellStyle name="Normal 6 2 2 2 6" xfId="3253"/>
    <cellStyle name="Normal 6 2 2 2 6 2" xfId="7110"/>
    <cellStyle name="Normal 6 2 2 2 6 3" xfId="9578"/>
    <cellStyle name="Normal 6 2 2 2 7" xfId="8335"/>
    <cellStyle name="Normal 6 2 2 3" xfId="664"/>
    <cellStyle name="Normal 6 2 2 3 2" xfId="1014"/>
    <cellStyle name="Normal 6 2 2 3 2 2" xfId="1628"/>
    <cellStyle name="Normal 6 2 2 3 2 2 2" xfId="2854"/>
    <cellStyle name="Normal 6 2 2 3 2 2 2 2" xfId="6714"/>
    <cellStyle name="Normal 6 2 2 3 2 2 2 3" xfId="11666"/>
    <cellStyle name="Normal 6 2 2 3 2 2 3" xfId="4082"/>
    <cellStyle name="Normal 6 2 2 3 2 2 3 2" xfId="7938"/>
    <cellStyle name="Normal 6 2 2 3 2 2 3 3" xfId="10424"/>
    <cellStyle name="Normal 6 2 2 3 2 2 4" xfId="5490"/>
    <cellStyle name="Normal 6 2 2 3 2 2 5" xfId="9182"/>
    <cellStyle name="Normal 6 2 2 3 2 3" xfId="2242"/>
    <cellStyle name="Normal 6 2 2 3 2 3 2" xfId="6102"/>
    <cellStyle name="Normal 6 2 2 3 2 3 3" xfId="11018"/>
    <cellStyle name="Normal 6 2 2 3 2 4" xfId="3470"/>
    <cellStyle name="Normal 6 2 2 3 2 4 2" xfId="7326"/>
    <cellStyle name="Normal 6 2 2 3 2 4 3" xfId="9776"/>
    <cellStyle name="Normal 6 2 2 3 2 5" xfId="4878"/>
    <cellStyle name="Normal 6 2 2 3 2 6" xfId="8533"/>
    <cellStyle name="Normal 6 2 2 3 3" xfId="1322"/>
    <cellStyle name="Normal 6 2 2 3 3 2" xfId="2548"/>
    <cellStyle name="Normal 6 2 2 3 3 2 2" xfId="6408"/>
    <cellStyle name="Normal 6 2 2 3 3 2 3" xfId="11360"/>
    <cellStyle name="Normal 6 2 2 3 3 3" xfId="3776"/>
    <cellStyle name="Normal 6 2 2 3 3 3 2" xfId="7632"/>
    <cellStyle name="Normal 6 2 2 3 3 3 3" xfId="10118"/>
    <cellStyle name="Normal 6 2 2 3 3 4" xfId="5184"/>
    <cellStyle name="Normal 6 2 2 3 3 5" xfId="8876"/>
    <cellStyle name="Normal 6 2 2 3 4" xfId="1936"/>
    <cellStyle name="Normal 6 2 2 3 4 2" xfId="5796"/>
    <cellStyle name="Normal 6 2 2 3 4 3" xfId="10730"/>
    <cellStyle name="Normal 6 2 2 3 5" xfId="3163"/>
    <cellStyle name="Normal 6 2 2 3 5 2" xfId="7020"/>
    <cellStyle name="Normal 6 2 2 3 5 3" xfId="11936"/>
    <cellStyle name="Normal 6 2 2 3 6" xfId="4572"/>
    <cellStyle name="Normal 6 2 2 3 6 2" xfId="9488"/>
    <cellStyle name="Normal 6 2 2 3 7" xfId="8245"/>
    <cellStyle name="Normal 6 2 2 4" xfId="923"/>
    <cellStyle name="Normal 6 2 2 4 2" xfId="1538"/>
    <cellStyle name="Normal 6 2 2 4 2 2" xfId="2764"/>
    <cellStyle name="Normal 6 2 2 4 2 2 2" xfId="6624"/>
    <cellStyle name="Normal 6 2 2 4 2 2 3" xfId="11576"/>
    <cellStyle name="Normal 6 2 2 4 2 3" xfId="3992"/>
    <cellStyle name="Normal 6 2 2 4 2 3 2" xfId="7848"/>
    <cellStyle name="Normal 6 2 2 4 2 3 3" xfId="10334"/>
    <cellStyle name="Normal 6 2 2 4 2 4" xfId="5400"/>
    <cellStyle name="Normal 6 2 2 4 2 5" xfId="9092"/>
    <cellStyle name="Normal 6 2 2 4 3" xfId="2152"/>
    <cellStyle name="Normal 6 2 2 4 3 2" xfId="6012"/>
    <cellStyle name="Normal 6 2 2 4 3 3" xfId="10928"/>
    <cellStyle name="Normal 6 2 2 4 4" xfId="3380"/>
    <cellStyle name="Normal 6 2 2 4 4 2" xfId="7236"/>
    <cellStyle name="Normal 6 2 2 4 4 3" xfId="9686"/>
    <cellStyle name="Normal 6 2 2 4 5" xfId="4788"/>
    <cellStyle name="Normal 6 2 2 4 6" xfId="8443"/>
    <cellStyle name="Normal 6 2 2 5" xfId="1232"/>
    <cellStyle name="Normal 6 2 2 5 2" xfId="2458"/>
    <cellStyle name="Normal 6 2 2 5 2 2" xfId="6318"/>
    <cellStyle name="Normal 6 2 2 5 2 3" xfId="11270"/>
    <cellStyle name="Normal 6 2 2 5 3" xfId="3686"/>
    <cellStyle name="Normal 6 2 2 5 3 2" xfId="7542"/>
    <cellStyle name="Normal 6 2 2 5 3 3" xfId="10028"/>
    <cellStyle name="Normal 6 2 2 5 4" xfId="5094"/>
    <cellStyle name="Normal 6 2 2 5 5" xfId="8786"/>
    <cellStyle name="Normal 6 2 2 6" xfId="573"/>
    <cellStyle name="Normal 6 2 2 6 2" xfId="4482"/>
    <cellStyle name="Normal 6 2 2 6 3" xfId="10640"/>
    <cellStyle name="Normal 6 2 2 7" xfId="1846"/>
    <cellStyle name="Normal 6 2 2 7 2" xfId="5706"/>
    <cellStyle name="Normal 6 2 2 7 3" xfId="11846"/>
    <cellStyle name="Normal 6 2 2 8" xfId="3073"/>
    <cellStyle name="Normal 6 2 2 8 2" xfId="6930"/>
    <cellStyle name="Normal 6 2 2 8 3" xfId="9398"/>
    <cellStyle name="Normal 6 2 2 9" xfId="4302"/>
    <cellStyle name="Normal 6 2 3" xfId="294"/>
    <cellStyle name="Normal 6 2 3 2" xfId="1068"/>
    <cellStyle name="Normal 6 2 3 2 2" xfId="1682"/>
    <cellStyle name="Normal 6 2 3 2 2 2" xfId="2908"/>
    <cellStyle name="Normal 6 2 3 2 2 2 2" xfId="6768"/>
    <cellStyle name="Normal 6 2 3 2 2 2 3" xfId="11720"/>
    <cellStyle name="Normal 6 2 3 2 2 3" xfId="4136"/>
    <cellStyle name="Normal 6 2 3 2 2 3 2" xfId="7992"/>
    <cellStyle name="Normal 6 2 3 2 2 3 3" xfId="10478"/>
    <cellStyle name="Normal 6 2 3 2 2 4" xfId="5544"/>
    <cellStyle name="Normal 6 2 3 2 2 5" xfId="9236"/>
    <cellStyle name="Normal 6 2 3 2 3" xfId="2296"/>
    <cellStyle name="Normal 6 2 3 2 3 2" xfId="6156"/>
    <cellStyle name="Normal 6 2 3 2 3 3" xfId="11072"/>
    <cellStyle name="Normal 6 2 3 2 4" xfId="3524"/>
    <cellStyle name="Normal 6 2 3 2 4 2" xfId="7380"/>
    <cellStyle name="Normal 6 2 3 2 4 3" xfId="9830"/>
    <cellStyle name="Normal 6 2 3 2 5" xfId="4932"/>
    <cellStyle name="Normal 6 2 3 2 6" xfId="8587"/>
    <cellStyle name="Normal 6 2 3 3" xfId="1376"/>
    <cellStyle name="Normal 6 2 3 3 2" xfId="2602"/>
    <cellStyle name="Normal 6 2 3 3 2 2" xfId="6462"/>
    <cellStyle name="Normal 6 2 3 3 2 3" xfId="11414"/>
    <cellStyle name="Normal 6 2 3 3 3" xfId="3830"/>
    <cellStyle name="Normal 6 2 3 3 3 2" xfId="7686"/>
    <cellStyle name="Normal 6 2 3 3 3 3" xfId="10172"/>
    <cellStyle name="Normal 6 2 3 3 4" xfId="5238"/>
    <cellStyle name="Normal 6 2 3 3 5" xfId="8930"/>
    <cellStyle name="Normal 6 2 3 4" xfId="718"/>
    <cellStyle name="Normal 6 2 3 4 2" xfId="4626"/>
    <cellStyle name="Normal 6 2 3 4 3" xfId="10784"/>
    <cellStyle name="Normal 6 2 3 5" xfId="1990"/>
    <cellStyle name="Normal 6 2 3 5 2" xfId="5850"/>
    <cellStyle name="Normal 6 2 3 5 3" xfId="11990"/>
    <cellStyle name="Normal 6 2 3 6" xfId="3217"/>
    <cellStyle name="Normal 6 2 3 6 2" xfId="7074"/>
    <cellStyle name="Normal 6 2 3 6 3" xfId="9542"/>
    <cellStyle name="Normal 6 2 3 7" xfId="8299"/>
    <cellStyle name="Normal 6 2 4" xfId="628"/>
    <cellStyle name="Normal 6 2 4 2" xfId="978"/>
    <cellStyle name="Normal 6 2 4 2 2" xfId="1592"/>
    <cellStyle name="Normal 6 2 4 2 2 2" xfId="2818"/>
    <cellStyle name="Normal 6 2 4 2 2 2 2" xfId="6678"/>
    <cellStyle name="Normal 6 2 4 2 2 2 3" xfId="11630"/>
    <cellStyle name="Normal 6 2 4 2 2 3" xfId="4046"/>
    <cellStyle name="Normal 6 2 4 2 2 3 2" xfId="7902"/>
    <cellStyle name="Normal 6 2 4 2 2 3 3" xfId="10388"/>
    <cellStyle name="Normal 6 2 4 2 2 4" xfId="5454"/>
    <cellStyle name="Normal 6 2 4 2 2 5" xfId="9146"/>
    <cellStyle name="Normal 6 2 4 2 3" xfId="2206"/>
    <cellStyle name="Normal 6 2 4 2 3 2" xfId="6066"/>
    <cellStyle name="Normal 6 2 4 2 3 3" xfId="10982"/>
    <cellStyle name="Normal 6 2 4 2 4" xfId="3434"/>
    <cellStyle name="Normal 6 2 4 2 4 2" xfId="7290"/>
    <cellStyle name="Normal 6 2 4 2 4 3" xfId="9740"/>
    <cellStyle name="Normal 6 2 4 2 5" xfId="4842"/>
    <cellStyle name="Normal 6 2 4 2 6" xfId="8497"/>
    <cellStyle name="Normal 6 2 4 3" xfId="1286"/>
    <cellStyle name="Normal 6 2 4 3 2" xfId="2512"/>
    <cellStyle name="Normal 6 2 4 3 2 2" xfId="6372"/>
    <cellStyle name="Normal 6 2 4 3 2 3" xfId="11324"/>
    <cellStyle name="Normal 6 2 4 3 3" xfId="3740"/>
    <cellStyle name="Normal 6 2 4 3 3 2" xfId="7596"/>
    <cellStyle name="Normal 6 2 4 3 3 3" xfId="10082"/>
    <cellStyle name="Normal 6 2 4 3 4" xfId="5148"/>
    <cellStyle name="Normal 6 2 4 3 5" xfId="8840"/>
    <cellStyle name="Normal 6 2 4 4" xfId="1900"/>
    <cellStyle name="Normal 6 2 4 4 2" xfId="5760"/>
    <cellStyle name="Normal 6 2 4 4 3" xfId="10694"/>
    <cellStyle name="Normal 6 2 4 5" xfId="3127"/>
    <cellStyle name="Normal 6 2 4 5 2" xfId="6984"/>
    <cellStyle name="Normal 6 2 4 5 3" xfId="11900"/>
    <cellStyle name="Normal 6 2 4 6" xfId="4536"/>
    <cellStyle name="Normal 6 2 4 6 2" xfId="9452"/>
    <cellStyle name="Normal 6 2 4 7" xfId="8209"/>
    <cellStyle name="Normal 6 2 5" xfId="519"/>
    <cellStyle name="Normal 6 2 5 2" xfId="869"/>
    <cellStyle name="Normal 6 2 5 2 2" xfId="1502"/>
    <cellStyle name="Normal 6 2 5 2 2 2" xfId="2728"/>
    <cellStyle name="Normal 6 2 5 2 2 2 2" xfId="6588"/>
    <cellStyle name="Normal 6 2 5 2 2 2 3" xfId="11540"/>
    <cellStyle name="Normal 6 2 5 2 2 3" xfId="3956"/>
    <cellStyle name="Normal 6 2 5 2 2 3 2" xfId="7812"/>
    <cellStyle name="Normal 6 2 5 2 2 3 3" xfId="10298"/>
    <cellStyle name="Normal 6 2 5 2 2 4" xfId="5364"/>
    <cellStyle name="Normal 6 2 5 2 2 5" xfId="9056"/>
    <cellStyle name="Normal 6 2 5 2 3" xfId="2116"/>
    <cellStyle name="Normal 6 2 5 2 3 2" xfId="5976"/>
    <cellStyle name="Normal 6 2 5 2 3 3" xfId="11144"/>
    <cellStyle name="Normal 6 2 5 2 4" xfId="3344"/>
    <cellStyle name="Normal 6 2 5 2 4 2" xfId="7200"/>
    <cellStyle name="Normal 6 2 5 2 4 3" xfId="9902"/>
    <cellStyle name="Normal 6 2 5 2 5" xfId="4752"/>
    <cellStyle name="Normal 6 2 5 2 6" xfId="8660"/>
    <cellStyle name="Normal 6 2 5 3" xfId="1196"/>
    <cellStyle name="Normal 6 2 5 3 2" xfId="2422"/>
    <cellStyle name="Normal 6 2 5 3 2 2" xfId="6282"/>
    <cellStyle name="Normal 6 2 5 3 2 3" xfId="11234"/>
    <cellStyle name="Normal 6 2 5 3 3" xfId="3650"/>
    <cellStyle name="Normal 6 2 5 3 3 2" xfId="7506"/>
    <cellStyle name="Normal 6 2 5 3 3 3" xfId="9992"/>
    <cellStyle name="Normal 6 2 5 3 4" xfId="5058"/>
    <cellStyle name="Normal 6 2 5 3 5" xfId="8750"/>
    <cellStyle name="Normal 6 2 5 4" xfId="1810"/>
    <cellStyle name="Normal 6 2 5 4 2" xfId="5670"/>
    <cellStyle name="Normal 6 2 5 4 2 2" xfId="11126"/>
    <cellStyle name="Normal 6 2 5 4 3" xfId="9884"/>
    <cellStyle name="Normal 6 2 5 4 4" xfId="8641"/>
    <cellStyle name="Normal 6 2 5 5" xfId="3037"/>
    <cellStyle name="Normal 6 2 5 5 2" xfId="6894"/>
    <cellStyle name="Normal 6 2 5 5 3" xfId="10604"/>
    <cellStyle name="Normal 6 2 5 6" xfId="4446"/>
    <cellStyle name="Normal 6 2 5 6 2" xfId="9362"/>
    <cellStyle name="Normal 6 2 5 7" xfId="8119"/>
    <cellStyle name="Normal 6 2 6" xfId="810"/>
    <cellStyle name="Normal 6 2 6 2" xfId="1448"/>
    <cellStyle name="Normal 6 2 6 2 2" xfId="2674"/>
    <cellStyle name="Normal 6 2 6 2 2 2" xfId="6534"/>
    <cellStyle name="Normal 6 2 6 2 2 3" xfId="11486"/>
    <cellStyle name="Normal 6 2 6 2 3" xfId="3902"/>
    <cellStyle name="Normal 6 2 6 2 3 2" xfId="7758"/>
    <cellStyle name="Normal 6 2 6 2 3 3" xfId="10244"/>
    <cellStyle name="Normal 6 2 6 2 4" xfId="5310"/>
    <cellStyle name="Normal 6 2 6 2 5" xfId="9002"/>
    <cellStyle name="Normal 6 2 6 3" xfId="2062"/>
    <cellStyle name="Normal 6 2 6 3 2" xfId="5922"/>
    <cellStyle name="Normal 6 2 6 3 3" xfId="10892"/>
    <cellStyle name="Normal 6 2 6 4" xfId="3290"/>
    <cellStyle name="Normal 6 2 6 4 2" xfId="7146"/>
    <cellStyle name="Normal 6 2 6 4 3" xfId="9650"/>
    <cellStyle name="Normal 6 2 6 5" xfId="4698"/>
    <cellStyle name="Normal 6 2 6 6" xfId="8407"/>
    <cellStyle name="Normal 6 2 7" xfId="1142"/>
    <cellStyle name="Normal 6 2 7 2" xfId="2368"/>
    <cellStyle name="Normal 6 2 7 2 2" xfId="6228"/>
    <cellStyle name="Normal 6 2 7 2 3" xfId="11180"/>
    <cellStyle name="Normal 6 2 7 3" xfId="3596"/>
    <cellStyle name="Normal 6 2 7 3 2" xfId="7452"/>
    <cellStyle name="Normal 6 2 7 3 3" xfId="9938"/>
    <cellStyle name="Normal 6 2 7 4" xfId="5004"/>
    <cellStyle name="Normal 6 2 7 5" xfId="8696"/>
    <cellStyle name="Normal 6 2 8" xfId="460"/>
    <cellStyle name="Normal 6 2 8 2" xfId="4392"/>
    <cellStyle name="Normal 6 2 8 3" xfId="10550"/>
    <cellStyle name="Normal 6 2 9" xfId="1756"/>
    <cellStyle name="Normal 6 2 9 2" xfId="5616"/>
    <cellStyle name="Normal 6 2 9 3" xfId="11810"/>
    <cellStyle name="Normal 6 3" xfId="295"/>
    <cellStyle name="Normal 6 3 2" xfId="736"/>
    <cellStyle name="Normal 6 3 2 2" xfId="1086"/>
    <cellStyle name="Normal 6 3 2 2 2" xfId="1700"/>
    <cellStyle name="Normal 6 3 2 2 2 2" xfId="2926"/>
    <cellStyle name="Normal 6 3 2 2 2 2 2" xfId="6786"/>
    <cellStyle name="Normal 6 3 2 2 2 2 3" xfId="11738"/>
    <cellStyle name="Normal 6 3 2 2 2 3" xfId="4154"/>
    <cellStyle name="Normal 6 3 2 2 2 3 2" xfId="8010"/>
    <cellStyle name="Normal 6 3 2 2 2 3 3" xfId="10496"/>
    <cellStyle name="Normal 6 3 2 2 2 4" xfId="5562"/>
    <cellStyle name="Normal 6 3 2 2 2 5" xfId="9254"/>
    <cellStyle name="Normal 6 3 2 2 3" xfId="2314"/>
    <cellStyle name="Normal 6 3 2 2 3 2" xfId="6174"/>
    <cellStyle name="Normal 6 3 2 2 3 3" xfId="11090"/>
    <cellStyle name="Normal 6 3 2 2 4" xfId="3542"/>
    <cellStyle name="Normal 6 3 2 2 4 2" xfId="7398"/>
    <cellStyle name="Normal 6 3 2 2 4 3" xfId="9848"/>
    <cellStyle name="Normal 6 3 2 2 5" xfId="4950"/>
    <cellStyle name="Normal 6 3 2 2 6" xfId="8605"/>
    <cellStyle name="Normal 6 3 2 3" xfId="1394"/>
    <cellStyle name="Normal 6 3 2 3 2" xfId="2620"/>
    <cellStyle name="Normal 6 3 2 3 2 2" xfId="6480"/>
    <cellStyle name="Normal 6 3 2 3 2 3" xfId="11432"/>
    <cellStyle name="Normal 6 3 2 3 3" xfId="3848"/>
    <cellStyle name="Normal 6 3 2 3 3 2" xfId="7704"/>
    <cellStyle name="Normal 6 3 2 3 3 3" xfId="10190"/>
    <cellStyle name="Normal 6 3 2 3 4" xfId="5256"/>
    <cellStyle name="Normal 6 3 2 3 5" xfId="8948"/>
    <cellStyle name="Normal 6 3 2 4" xfId="2008"/>
    <cellStyle name="Normal 6 3 2 4 2" xfId="5868"/>
    <cellStyle name="Normal 6 3 2 4 3" xfId="10802"/>
    <cellStyle name="Normal 6 3 2 5" xfId="3235"/>
    <cellStyle name="Normal 6 3 2 5 2" xfId="7092"/>
    <cellStyle name="Normal 6 3 2 5 3" xfId="12008"/>
    <cellStyle name="Normal 6 3 2 6" xfId="4644"/>
    <cellStyle name="Normal 6 3 2 6 2" xfId="9560"/>
    <cellStyle name="Normal 6 3 2 7" xfId="8317"/>
    <cellStyle name="Normal 6 3 3" xfId="646"/>
    <cellStyle name="Normal 6 3 3 2" xfId="996"/>
    <cellStyle name="Normal 6 3 3 2 2" xfId="1610"/>
    <cellStyle name="Normal 6 3 3 2 2 2" xfId="2836"/>
    <cellStyle name="Normal 6 3 3 2 2 2 2" xfId="6696"/>
    <cellStyle name="Normal 6 3 3 2 2 2 3" xfId="11648"/>
    <cellStyle name="Normal 6 3 3 2 2 3" xfId="4064"/>
    <cellStyle name="Normal 6 3 3 2 2 3 2" xfId="7920"/>
    <cellStyle name="Normal 6 3 3 2 2 3 3" xfId="10406"/>
    <cellStyle name="Normal 6 3 3 2 2 4" xfId="5472"/>
    <cellStyle name="Normal 6 3 3 2 2 5" xfId="9164"/>
    <cellStyle name="Normal 6 3 3 2 3" xfId="2224"/>
    <cellStyle name="Normal 6 3 3 2 3 2" xfId="6084"/>
    <cellStyle name="Normal 6 3 3 2 3 3" xfId="11000"/>
    <cellStyle name="Normal 6 3 3 2 4" xfId="3452"/>
    <cellStyle name="Normal 6 3 3 2 4 2" xfId="7308"/>
    <cellStyle name="Normal 6 3 3 2 4 3" xfId="9758"/>
    <cellStyle name="Normal 6 3 3 2 5" xfId="4860"/>
    <cellStyle name="Normal 6 3 3 2 6" xfId="8515"/>
    <cellStyle name="Normal 6 3 3 3" xfId="1304"/>
    <cellStyle name="Normal 6 3 3 3 2" xfId="2530"/>
    <cellStyle name="Normal 6 3 3 3 2 2" xfId="6390"/>
    <cellStyle name="Normal 6 3 3 3 2 3" xfId="11342"/>
    <cellStyle name="Normal 6 3 3 3 3" xfId="3758"/>
    <cellStyle name="Normal 6 3 3 3 3 2" xfId="7614"/>
    <cellStyle name="Normal 6 3 3 3 3 3" xfId="10100"/>
    <cellStyle name="Normal 6 3 3 3 4" xfId="5166"/>
    <cellStyle name="Normal 6 3 3 3 5" xfId="8858"/>
    <cellStyle name="Normal 6 3 3 4" xfId="1918"/>
    <cellStyle name="Normal 6 3 3 4 2" xfId="5778"/>
    <cellStyle name="Normal 6 3 3 4 3" xfId="10712"/>
    <cellStyle name="Normal 6 3 3 5" xfId="3145"/>
    <cellStyle name="Normal 6 3 3 5 2" xfId="7002"/>
    <cellStyle name="Normal 6 3 3 5 3" xfId="11918"/>
    <cellStyle name="Normal 6 3 3 6" xfId="4554"/>
    <cellStyle name="Normal 6 3 3 6 2" xfId="9470"/>
    <cellStyle name="Normal 6 3 3 7" xfId="8227"/>
    <cellStyle name="Normal 6 3 4" xfId="905"/>
    <cellStyle name="Normal 6 3 4 2" xfId="1520"/>
    <cellStyle name="Normal 6 3 4 2 2" xfId="2746"/>
    <cellStyle name="Normal 6 3 4 2 2 2" xfId="6606"/>
    <cellStyle name="Normal 6 3 4 2 2 3" xfId="11558"/>
    <cellStyle name="Normal 6 3 4 2 3" xfId="3974"/>
    <cellStyle name="Normal 6 3 4 2 3 2" xfId="7830"/>
    <cellStyle name="Normal 6 3 4 2 3 3" xfId="10316"/>
    <cellStyle name="Normal 6 3 4 2 4" xfId="5382"/>
    <cellStyle name="Normal 6 3 4 2 5" xfId="9074"/>
    <cellStyle name="Normal 6 3 4 3" xfId="2134"/>
    <cellStyle name="Normal 6 3 4 3 2" xfId="5994"/>
    <cellStyle name="Normal 6 3 4 3 3" xfId="10910"/>
    <cellStyle name="Normal 6 3 4 4" xfId="3362"/>
    <cellStyle name="Normal 6 3 4 4 2" xfId="7218"/>
    <cellStyle name="Normal 6 3 4 4 3" xfId="9668"/>
    <cellStyle name="Normal 6 3 4 5" xfId="4770"/>
    <cellStyle name="Normal 6 3 4 6" xfId="8425"/>
    <cellStyle name="Normal 6 3 5" xfId="1214"/>
    <cellStyle name="Normal 6 3 5 2" xfId="2440"/>
    <cellStyle name="Normal 6 3 5 2 2" xfId="6300"/>
    <cellStyle name="Normal 6 3 5 2 3" xfId="11252"/>
    <cellStyle name="Normal 6 3 5 3" xfId="3668"/>
    <cellStyle name="Normal 6 3 5 3 2" xfId="7524"/>
    <cellStyle name="Normal 6 3 5 3 3" xfId="10010"/>
    <cellStyle name="Normal 6 3 5 4" xfId="5076"/>
    <cellStyle name="Normal 6 3 5 5" xfId="8768"/>
    <cellStyle name="Normal 6 3 6" xfId="555"/>
    <cellStyle name="Normal 6 3 6 2" xfId="4464"/>
    <cellStyle name="Normal 6 3 6 3" xfId="10622"/>
    <cellStyle name="Normal 6 3 7" xfId="1828"/>
    <cellStyle name="Normal 6 3 7 2" xfId="5688"/>
    <cellStyle name="Normal 6 3 7 3" xfId="11828"/>
    <cellStyle name="Normal 6 3 8" xfId="3055"/>
    <cellStyle name="Normal 6 3 8 2" xfId="6912"/>
    <cellStyle name="Normal 6 3 8 3" xfId="9380"/>
    <cellStyle name="Normal 6 3 9" xfId="8137"/>
    <cellStyle name="Normal 6 4" xfId="296"/>
    <cellStyle name="Normal 6 4 10" xfId="8101"/>
    <cellStyle name="Normal 6 4 2" xfId="700"/>
    <cellStyle name="Normal 6 4 2 2" xfId="1050"/>
    <cellStyle name="Normal 6 4 2 2 2" xfId="1664"/>
    <cellStyle name="Normal 6 4 2 2 2 2" xfId="2890"/>
    <cellStyle name="Normal 6 4 2 2 2 2 2" xfId="6750"/>
    <cellStyle name="Normal 6 4 2 2 2 2 3" xfId="11702"/>
    <cellStyle name="Normal 6 4 2 2 2 3" xfId="4118"/>
    <cellStyle name="Normal 6 4 2 2 2 3 2" xfId="7974"/>
    <cellStyle name="Normal 6 4 2 2 2 3 3" xfId="10460"/>
    <cellStyle name="Normal 6 4 2 2 2 4" xfId="5526"/>
    <cellStyle name="Normal 6 4 2 2 2 5" xfId="9218"/>
    <cellStyle name="Normal 6 4 2 2 3" xfId="2278"/>
    <cellStyle name="Normal 6 4 2 2 3 2" xfId="6138"/>
    <cellStyle name="Normal 6 4 2 2 3 3" xfId="11054"/>
    <cellStyle name="Normal 6 4 2 2 4" xfId="3506"/>
    <cellStyle name="Normal 6 4 2 2 4 2" xfId="7362"/>
    <cellStyle name="Normal 6 4 2 2 4 3" xfId="9812"/>
    <cellStyle name="Normal 6 4 2 2 5" xfId="4914"/>
    <cellStyle name="Normal 6 4 2 2 6" xfId="8569"/>
    <cellStyle name="Normal 6 4 2 3" xfId="1358"/>
    <cellStyle name="Normal 6 4 2 3 2" xfId="2584"/>
    <cellStyle name="Normal 6 4 2 3 2 2" xfId="6444"/>
    <cellStyle name="Normal 6 4 2 3 2 3" xfId="11396"/>
    <cellStyle name="Normal 6 4 2 3 3" xfId="3812"/>
    <cellStyle name="Normal 6 4 2 3 3 2" xfId="7668"/>
    <cellStyle name="Normal 6 4 2 3 3 3" xfId="10154"/>
    <cellStyle name="Normal 6 4 2 3 4" xfId="5220"/>
    <cellStyle name="Normal 6 4 2 3 5" xfId="8912"/>
    <cellStyle name="Normal 6 4 2 4" xfId="1972"/>
    <cellStyle name="Normal 6 4 2 4 2" xfId="5832"/>
    <cellStyle name="Normal 6 4 2 4 3" xfId="10766"/>
    <cellStyle name="Normal 6 4 2 5" xfId="3199"/>
    <cellStyle name="Normal 6 4 2 5 2" xfId="7056"/>
    <cellStyle name="Normal 6 4 2 5 3" xfId="11972"/>
    <cellStyle name="Normal 6 4 2 6" xfId="4608"/>
    <cellStyle name="Normal 6 4 2 6 2" xfId="9524"/>
    <cellStyle name="Normal 6 4 2 7" xfId="8281"/>
    <cellStyle name="Normal 6 4 3" xfId="610"/>
    <cellStyle name="Normal 6 4 3 2" xfId="960"/>
    <cellStyle name="Normal 6 4 3 2 2" xfId="1574"/>
    <cellStyle name="Normal 6 4 3 2 2 2" xfId="2800"/>
    <cellStyle name="Normal 6 4 3 2 2 2 2" xfId="6660"/>
    <cellStyle name="Normal 6 4 3 2 2 2 3" xfId="11612"/>
    <cellStyle name="Normal 6 4 3 2 2 3" xfId="4028"/>
    <cellStyle name="Normal 6 4 3 2 2 3 2" xfId="7884"/>
    <cellStyle name="Normal 6 4 3 2 2 3 3" xfId="10370"/>
    <cellStyle name="Normal 6 4 3 2 2 4" xfId="5436"/>
    <cellStyle name="Normal 6 4 3 2 2 5" xfId="9128"/>
    <cellStyle name="Normal 6 4 3 2 3" xfId="2188"/>
    <cellStyle name="Normal 6 4 3 2 3 2" xfId="6048"/>
    <cellStyle name="Normal 6 4 3 2 3 3" xfId="10964"/>
    <cellStyle name="Normal 6 4 3 2 4" xfId="3416"/>
    <cellStyle name="Normal 6 4 3 2 4 2" xfId="7272"/>
    <cellStyle name="Normal 6 4 3 2 4 3" xfId="9722"/>
    <cellStyle name="Normal 6 4 3 2 5" xfId="4824"/>
    <cellStyle name="Normal 6 4 3 2 6" xfId="8479"/>
    <cellStyle name="Normal 6 4 3 3" xfId="1268"/>
    <cellStyle name="Normal 6 4 3 3 2" xfId="2494"/>
    <cellStyle name="Normal 6 4 3 3 2 2" xfId="6354"/>
    <cellStyle name="Normal 6 4 3 3 2 3" xfId="11306"/>
    <cellStyle name="Normal 6 4 3 3 3" xfId="3722"/>
    <cellStyle name="Normal 6 4 3 3 3 2" xfId="7578"/>
    <cellStyle name="Normal 6 4 3 3 3 3" xfId="10064"/>
    <cellStyle name="Normal 6 4 3 3 4" xfId="5130"/>
    <cellStyle name="Normal 6 4 3 3 5" xfId="8822"/>
    <cellStyle name="Normal 6 4 3 4" xfId="1882"/>
    <cellStyle name="Normal 6 4 3 4 2" xfId="5742"/>
    <cellStyle name="Normal 6 4 3 4 3" xfId="10676"/>
    <cellStyle name="Normal 6 4 3 5" xfId="3109"/>
    <cellStyle name="Normal 6 4 3 5 2" xfId="6966"/>
    <cellStyle name="Normal 6 4 3 5 3" xfId="11882"/>
    <cellStyle name="Normal 6 4 3 6" xfId="4518"/>
    <cellStyle name="Normal 6 4 3 6 2" xfId="9434"/>
    <cellStyle name="Normal 6 4 3 7" xfId="8191"/>
    <cellStyle name="Normal 6 4 4" xfId="848"/>
    <cellStyle name="Normal 6 4 4 2" xfId="1484"/>
    <cellStyle name="Normal 6 4 4 2 2" xfId="2710"/>
    <cellStyle name="Normal 6 4 4 2 2 2" xfId="6570"/>
    <cellStyle name="Normal 6 4 4 2 2 3" xfId="11522"/>
    <cellStyle name="Normal 6 4 4 2 3" xfId="3938"/>
    <cellStyle name="Normal 6 4 4 2 3 2" xfId="7794"/>
    <cellStyle name="Normal 6 4 4 2 3 3" xfId="10280"/>
    <cellStyle name="Normal 6 4 4 2 4" xfId="5346"/>
    <cellStyle name="Normal 6 4 4 2 5" xfId="9038"/>
    <cellStyle name="Normal 6 4 4 3" xfId="2098"/>
    <cellStyle name="Normal 6 4 4 3 2" xfId="5958"/>
    <cellStyle name="Normal 6 4 4 3 3" xfId="10874"/>
    <cellStyle name="Normal 6 4 4 4" xfId="3326"/>
    <cellStyle name="Normal 6 4 4 4 2" xfId="7182"/>
    <cellStyle name="Normal 6 4 4 4 3" xfId="9632"/>
    <cellStyle name="Normal 6 4 4 5" xfId="4734"/>
    <cellStyle name="Normal 6 4 4 6" xfId="8389"/>
    <cellStyle name="Normal 6 4 5" xfId="1178"/>
    <cellStyle name="Normal 6 4 5 2" xfId="2404"/>
    <cellStyle name="Normal 6 4 5 2 2" xfId="6264"/>
    <cellStyle name="Normal 6 4 5 2 3" xfId="11216"/>
    <cellStyle name="Normal 6 4 5 3" xfId="3632"/>
    <cellStyle name="Normal 6 4 5 3 2" xfId="7488"/>
    <cellStyle name="Normal 6 4 5 3 3" xfId="9974"/>
    <cellStyle name="Normal 6 4 5 4" xfId="5040"/>
    <cellStyle name="Normal 6 4 5 5" xfId="8732"/>
    <cellStyle name="Normal 6 4 6" xfId="498"/>
    <cellStyle name="Normal 6 4 6 2" xfId="4428"/>
    <cellStyle name="Normal 6 4 6 3" xfId="10586"/>
    <cellStyle name="Normal 6 4 7" xfId="1792"/>
    <cellStyle name="Normal 6 4 7 2" xfId="5652"/>
    <cellStyle name="Normal 6 4 7 3" xfId="11792"/>
    <cellStyle name="Normal 6 4 8" xfId="3019"/>
    <cellStyle name="Normal 6 4 8 2" xfId="6876"/>
    <cellStyle name="Normal 6 4 8 3" xfId="9344"/>
    <cellStyle name="Normal 6 4 9" xfId="4303"/>
    <cellStyle name="Normal 6 5" xfId="682"/>
    <cellStyle name="Normal 6 5 2" xfId="1032"/>
    <cellStyle name="Normal 6 5 2 2" xfId="1646"/>
    <cellStyle name="Normal 6 5 2 2 2" xfId="2872"/>
    <cellStyle name="Normal 6 5 2 2 2 2" xfId="6732"/>
    <cellStyle name="Normal 6 5 2 2 2 3" xfId="11684"/>
    <cellStyle name="Normal 6 5 2 2 3" xfId="4100"/>
    <cellStyle name="Normal 6 5 2 2 3 2" xfId="7956"/>
    <cellStyle name="Normal 6 5 2 2 3 3" xfId="10442"/>
    <cellStyle name="Normal 6 5 2 2 4" xfId="5508"/>
    <cellStyle name="Normal 6 5 2 2 5" xfId="9200"/>
    <cellStyle name="Normal 6 5 2 3" xfId="2260"/>
    <cellStyle name="Normal 6 5 2 3 2" xfId="6120"/>
    <cellStyle name="Normal 6 5 2 3 3" xfId="11036"/>
    <cellStyle name="Normal 6 5 2 4" xfId="3488"/>
    <cellStyle name="Normal 6 5 2 4 2" xfId="7344"/>
    <cellStyle name="Normal 6 5 2 4 3" xfId="9794"/>
    <cellStyle name="Normal 6 5 2 5" xfId="4896"/>
    <cellStyle name="Normal 6 5 2 6" xfId="8551"/>
    <cellStyle name="Normal 6 5 3" xfId="1340"/>
    <cellStyle name="Normal 6 5 3 2" xfId="2566"/>
    <cellStyle name="Normal 6 5 3 2 2" xfId="6426"/>
    <cellStyle name="Normal 6 5 3 2 3" xfId="11378"/>
    <cellStyle name="Normal 6 5 3 3" xfId="3794"/>
    <cellStyle name="Normal 6 5 3 3 2" xfId="7650"/>
    <cellStyle name="Normal 6 5 3 3 3" xfId="10136"/>
    <cellStyle name="Normal 6 5 3 4" xfId="5202"/>
    <cellStyle name="Normal 6 5 3 5" xfId="8894"/>
    <cellStyle name="Normal 6 5 4" xfId="1954"/>
    <cellStyle name="Normal 6 5 4 2" xfId="5814"/>
    <cellStyle name="Normal 6 5 4 3" xfId="10748"/>
    <cellStyle name="Normal 6 5 5" xfId="3181"/>
    <cellStyle name="Normal 6 5 5 2" xfId="7038"/>
    <cellStyle name="Normal 6 5 5 3" xfId="11954"/>
    <cellStyle name="Normal 6 5 6" xfId="4590"/>
    <cellStyle name="Normal 6 5 6 2" xfId="9506"/>
    <cellStyle name="Normal 6 5 7" xfId="8263"/>
    <cellStyle name="Normal 6 6" xfId="592"/>
    <cellStyle name="Normal 6 6 2" xfId="942"/>
    <cellStyle name="Normal 6 6 2 2" xfId="1556"/>
    <cellStyle name="Normal 6 6 2 2 2" xfId="2782"/>
    <cellStyle name="Normal 6 6 2 2 2 2" xfId="6642"/>
    <cellStyle name="Normal 6 6 2 2 2 3" xfId="11594"/>
    <cellStyle name="Normal 6 6 2 2 3" xfId="4010"/>
    <cellStyle name="Normal 6 6 2 2 3 2" xfId="7866"/>
    <cellStyle name="Normal 6 6 2 2 3 3" xfId="10352"/>
    <cellStyle name="Normal 6 6 2 2 4" xfId="5418"/>
    <cellStyle name="Normal 6 6 2 2 5" xfId="9110"/>
    <cellStyle name="Normal 6 6 2 3" xfId="2170"/>
    <cellStyle name="Normal 6 6 2 3 2" xfId="6030"/>
    <cellStyle name="Normal 6 6 2 3 3" xfId="10946"/>
    <cellStyle name="Normal 6 6 2 4" xfId="3398"/>
    <cellStyle name="Normal 6 6 2 4 2" xfId="7254"/>
    <cellStyle name="Normal 6 6 2 4 3" xfId="9704"/>
    <cellStyle name="Normal 6 6 2 5" xfId="4806"/>
    <cellStyle name="Normal 6 6 2 6" xfId="8461"/>
    <cellStyle name="Normal 6 6 3" xfId="1250"/>
    <cellStyle name="Normal 6 6 3 2" xfId="2476"/>
    <cellStyle name="Normal 6 6 3 2 2" xfId="6336"/>
    <cellStyle name="Normal 6 6 3 2 3" xfId="11288"/>
    <cellStyle name="Normal 6 6 3 3" xfId="3704"/>
    <cellStyle name="Normal 6 6 3 3 2" xfId="7560"/>
    <cellStyle name="Normal 6 6 3 3 3" xfId="10046"/>
    <cellStyle name="Normal 6 6 3 4" xfId="5112"/>
    <cellStyle name="Normal 6 6 3 5" xfId="8804"/>
    <cellStyle name="Normal 6 6 4" xfId="1864"/>
    <cellStyle name="Normal 6 6 4 2" xfId="5724"/>
    <cellStyle name="Normal 6 6 4 3" xfId="10658"/>
    <cellStyle name="Normal 6 6 5" xfId="3091"/>
    <cellStyle name="Normal 6 6 5 2" xfId="6948"/>
    <cellStyle name="Normal 6 6 5 3" xfId="11864"/>
    <cellStyle name="Normal 6 6 6" xfId="4500"/>
    <cellStyle name="Normal 6 6 6 2" xfId="9416"/>
    <cellStyle name="Normal 6 6 7" xfId="8173"/>
    <cellStyle name="Normal 6 7" xfId="478"/>
    <cellStyle name="Normal 6 7 2" xfId="828"/>
    <cellStyle name="Normal 6 7 2 2" xfId="1466"/>
    <cellStyle name="Normal 6 7 2 2 2" xfId="2692"/>
    <cellStyle name="Normal 6 7 2 2 2 2" xfId="6552"/>
    <cellStyle name="Normal 6 7 2 2 2 3" xfId="11504"/>
    <cellStyle name="Normal 6 7 2 2 3" xfId="3920"/>
    <cellStyle name="Normal 6 7 2 2 3 2" xfId="7776"/>
    <cellStyle name="Normal 6 7 2 2 3 3" xfId="10262"/>
    <cellStyle name="Normal 6 7 2 2 4" xfId="5328"/>
    <cellStyle name="Normal 6 7 2 2 5" xfId="9020"/>
    <cellStyle name="Normal 6 7 2 3" xfId="2080"/>
    <cellStyle name="Normal 6 7 2 3 2" xfId="5940"/>
    <cellStyle name="Normal 6 7 2 3 3" xfId="10856"/>
    <cellStyle name="Normal 6 7 2 4" xfId="3308"/>
    <cellStyle name="Normal 6 7 2 4 2" xfId="7164"/>
    <cellStyle name="Normal 6 7 2 4 3" xfId="9614"/>
    <cellStyle name="Normal 6 7 2 5" xfId="4716"/>
    <cellStyle name="Normal 6 7 2 6" xfId="8371"/>
    <cellStyle name="Normal 6 7 3" xfId="1160"/>
    <cellStyle name="Normal 6 7 3 2" xfId="2386"/>
    <cellStyle name="Normal 6 7 3 2 2" xfId="6246"/>
    <cellStyle name="Normal 6 7 3 2 3" xfId="11198"/>
    <cellStyle name="Normal 6 7 3 3" xfId="3614"/>
    <cellStyle name="Normal 6 7 3 3 2" xfId="7470"/>
    <cellStyle name="Normal 6 7 3 3 3" xfId="9956"/>
    <cellStyle name="Normal 6 7 3 4" xfId="5022"/>
    <cellStyle name="Normal 6 7 3 5" xfId="8714"/>
    <cellStyle name="Normal 6 7 4" xfId="1774"/>
    <cellStyle name="Normal 6 7 4 2" xfId="5634"/>
    <cellStyle name="Normal 6 7 4 3" xfId="10568"/>
    <cellStyle name="Normal 6 7 5" xfId="3001"/>
    <cellStyle name="Normal 6 7 5 2" xfId="6858"/>
    <cellStyle name="Normal 6 7 5 3" xfId="12044"/>
    <cellStyle name="Normal 6 7 6" xfId="4410"/>
    <cellStyle name="Normal 6 7 6 2" xfId="9326"/>
    <cellStyle name="Normal 6 7 7" xfId="8083"/>
    <cellStyle name="Normal 6 8" xfId="775"/>
    <cellStyle name="Normal 6 8 2" xfId="1430"/>
    <cellStyle name="Normal 6 8 2 2" xfId="2656"/>
    <cellStyle name="Normal 6 8 2 2 2" xfId="6516"/>
    <cellStyle name="Normal 6 8 2 2 3" xfId="11468"/>
    <cellStyle name="Normal 6 8 2 3" xfId="3884"/>
    <cellStyle name="Normal 6 8 2 3 2" xfId="7740"/>
    <cellStyle name="Normal 6 8 2 3 3" xfId="10226"/>
    <cellStyle name="Normal 6 8 2 4" xfId="5292"/>
    <cellStyle name="Normal 6 8 2 5" xfId="8984"/>
    <cellStyle name="Normal 6 8 3" xfId="2044"/>
    <cellStyle name="Normal 6 8 3 2" xfId="5904"/>
    <cellStyle name="Normal 6 8 3 3" xfId="10838"/>
    <cellStyle name="Normal 6 8 4" xfId="3272"/>
    <cellStyle name="Normal 6 8 4 2" xfId="7128"/>
    <cellStyle name="Normal 6 8 4 3" xfId="9596"/>
    <cellStyle name="Normal 6 8 5" xfId="4680"/>
    <cellStyle name="Normal 6 8 6" xfId="8353"/>
    <cellStyle name="Normal 6 9" xfId="1124"/>
    <cellStyle name="Normal 6 9 2" xfId="2350"/>
    <cellStyle name="Normal 6 9 2 2" xfId="6210"/>
    <cellStyle name="Normal 6 9 2 3" xfId="11162"/>
    <cellStyle name="Normal 6 9 3" xfId="3578"/>
    <cellStyle name="Normal 6 9 3 2" xfId="7434"/>
    <cellStyle name="Normal 6 9 3 3" xfId="9920"/>
    <cellStyle name="Normal 6 9 4" xfId="4986"/>
    <cellStyle name="Normal 6 9 5" xfId="8678"/>
    <cellStyle name="Normal 60" xfId="297"/>
    <cellStyle name="Normal 60 2" xfId="4304"/>
    <cellStyle name="Normal 61" xfId="298"/>
    <cellStyle name="Normal 61 2" xfId="4305"/>
    <cellStyle name="Normal 62" xfId="299"/>
    <cellStyle name="Normal 62 2" xfId="4306"/>
    <cellStyle name="Normal 63" xfId="300"/>
    <cellStyle name="Normal 63 2" xfId="4307"/>
    <cellStyle name="Normal 64" xfId="301"/>
    <cellStyle name="Normal 64 2" xfId="4308"/>
    <cellStyle name="Normal 65" xfId="302"/>
    <cellStyle name="Normal 65 2" xfId="4309"/>
    <cellStyle name="Normal 66" xfId="1736"/>
    <cellStyle name="Normal 67" xfId="2962"/>
    <cellStyle name="Normal 68" xfId="2964"/>
    <cellStyle name="Normal 69" xfId="2963"/>
    <cellStyle name="Normal 7" xfId="303"/>
    <cellStyle name="Normal 7 2" xfId="304"/>
    <cellStyle name="Normal 7 2 2" xfId="305"/>
    <cellStyle name="Normal 7 2 2 2" xfId="306"/>
    <cellStyle name="Normal 7 2 2 3" xfId="4312"/>
    <cellStyle name="Normal 7 2 3" xfId="307"/>
    <cellStyle name="Normal 7 2 4" xfId="866"/>
    <cellStyle name="Normal 7 2 5" xfId="4311"/>
    <cellStyle name="Normal 7 3" xfId="308"/>
    <cellStyle name="Normal 7 4" xfId="309"/>
    <cellStyle name="Normal 7 5" xfId="516"/>
    <cellStyle name="Normal 7 6" xfId="4310"/>
    <cellStyle name="Normal 70" xfId="4190"/>
    <cellStyle name="Normal 71" xfId="8046"/>
    <cellStyle name="Normal 72" xfId="8659"/>
    <cellStyle name="Normal 75" xfId="310"/>
    <cellStyle name="Normal 8" xfId="311"/>
    <cellStyle name="Normal 8 2" xfId="312"/>
    <cellStyle name="Normal 8 2 2" xfId="313"/>
    <cellStyle name="Normal 8 2 3" xfId="314"/>
    <cellStyle name="Normal 8 2 4" xfId="941"/>
    <cellStyle name="Normal 8 2 5" xfId="4314"/>
    <cellStyle name="Normal 8 3" xfId="315"/>
    <cellStyle name="Normal 8 4" xfId="316"/>
    <cellStyle name="Normal 8 5" xfId="591"/>
    <cellStyle name="Normal 8 6" xfId="4313"/>
    <cellStyle name="Normal 9" xfId="317"/>
    <cellStyle name="Normal 9 2" xfId="318"/>
    <cellStyle name="Normal 9 2 2" xfId="1122"/>
    <cellStyle name="Normal 9 3" xfId="319"/>
    <cellStyle name="Normal 9 4" xfId="320"/>
    <cellStyle name="Normal 9 5" xfId="420"/>
    <cellStyle name="Normal_A-BP0018 Blueprint Configuration Worksheet New Zealand v11.0" xfId="321"/>
    <cellStyle name="Normal_August 05 Overview" xfId="322"/>
    <cellStyle name="Normal_Term-Empl-IT0-IT1-IT2" xfId="323"/>
    <cellStyle name="Normal_Term-Empl-IT0-IT1-IT2 2" xfId="324"/>
    <cellStyle name="Normal_UAT Test Scenarios Apr05-Mar06 - Intel_v2" xfId="325"/>
    <cellStyle name="Normal_UAT Test Scenarios Apr05-Mar06 - Intel_v2 2" xfId="1737"/>
    <cellStyle name="Normal_UAT Test Scenarios Apr05-Mar06 - Intel_v2 2 2" xfId="3271"/>
    <cellStyle name="Note 2" xfId="326"/>
    <cellStyle name="N塅䕃⹌塅E_Payroll Nov 09 final25th" xfId="327"/>
    <cellStyle name="Output 2" xfId="328"/>
    <cellStyle name="Output 2 2" xfId="4315"/>
    <cellStyle name="Percent" xfId="12062" builtinId="5"/>
    <cellStyle name="Percent 2" xfId="329"/>
    <cellStyle name="Percent 2 2" xfId="330"/>
    <cellStyle name="Percent 2 2 2" xfId="331"/>
    <cellStyle name="Percent 2 2 2 2" xfId="4317"/>
    <cellStyle name="Percent 2 2 3" xfId="332"/>
    <cellStyle name="Percent 2 2 4" xfId="4316"/>
    <cellStyle name="Percent 2 3" xfId="333"/>
    <cellStyle name="PSChar" xfId="334"/>
    <cellStyle name="PSDate" xfId="335"/>
    <cellStyle name="PSHeading" xfId="336"/>
    <cellStyle name="PSSpacer" xfId="337"/>
    <cellStyle name="Standaard 2" xfId="338"/>
    <cellStyle name="Standaard 2 10" xfId="339"/>
    <cellStyle name="Standaard 2 10 2" xfId="4319"/>
    <cellStyle name="Standaard 2 11" xfId="340"/>
    <cellStyle name="Standaard 2 11 2" xfId="4320"/>
    <cellStyle name="Standaard 2 12" xfId="341"/>
    <cellStyle name="Standaard 2 12 2" xfId="4321"/>
    <cellStyle name="Standaard 2 13" xfId="342"/>
    <cellStyle name="Standaard 2 13 2" xfId="4322"/>
    <cellStyle name="Standaard 2 14" xfId="343"/>
    <cellStyle name="Standaard 2 14 2" xfId="4323"/>
    <cellStyle name="Standaard 2 15" xfId="344"/>
    <cellStyle name="Standaard 2 15 2" xfId="4324"/>
    <cellStyle name="Standaard 2 16" xfId="345"/>
    <cellStyle name="Standaard 2 16 2" xfId="4325"/>
    <cellStyle name="Standaard 2 17" xfId="346"/>
    <cellStyle name="Standaard 2 17 2" xfId="4326"/>
    <cellStyle name="Standaard 2 18" xfId="347"/>
    <cellStyle name="Standaard 2 18 2" xfId="4327"/>
    <cellStyle name="Standaard 2 19" xfId="348"/>
    <cellStyle name="Standaard 2 19 2" xfId="4328"/>
    <cellStyle name="Standaard 2 2" xfId="349"/>
    <cellStyle name="Standaard 2 2 2" xfId="4329"/>
    <cellStyle name="Standaard 2 20" xfId="350"/>
    <cellStyle name="Standaard 2 20 2" xfId="4330"/>
    <cellStyle name="Standaard 2 21" xfId="351"/>
    <cellStyle name="Standaard 2 21 2" xfId="4331"/>
    <cellStyle name="Standaard 2 22" xfId="352"/>
    <cellStyle name="Standaard 2 22 2" xfId="4332"/>
    <cellStyle name="Standaard 2 23" xfId="353"/>
    <cellStyle name="Standaard 2 23 2" xfId="4333"/>
    <cellStyle name="Standaard 2 24" xfId="354"/>
    <cellStyle name="Standaard 2 24 2" xfId="4334"/>
    <cellStyle name="Standaard 2 25" xfId="355"/>
    <cellStyle name="Standaard 2 25 2" xfId="4335"/>
    <cellStyle name="Standaard 2 26" xfId="356"/>
    <cellStyle name="Standaard 2 26 2" xfId="4336"/>
    <cellStyle name="Standaard 2 27" xfId="357"/>
    <cellStyle name="Standaard 2 27 2" xfId="4337"/>
    <cellStyle name="Standaard 2 28" xfId="358"/>
    <cellStyle name="Standaard 2 28 2" xfId="4338"/>
    <cellStyle name="Standaard 2 29" xfId="359"/>
    <cellStyle name="Standaard 2 29 2" xfId="4339"/>
    <cellStyle name="Standaard 2 3" xfId="360"/>
    <cellStyle name="Standaard 2 3 2" xfId="4340"/>
    <cellStyle name="Standaard 2 30" xfId="361"/>
    <cellStyle name="Standaard 2 30 2" xfId="4341"/>
    <cellStyle name="Standaard 2 31" xfId="362"/>
    <cellStyle name="Standaard 2 31 2" xfId="4342"/>
    <cellStyle name="Standaard 2 32" xfId="363"/>
    <cellStyle name="Standaard 2 32 2" xfId="4343"/>
    <cellStyle name="Standaard 2 33" xfId="364"/>
    <cellStyle name="Standaard 2 33 2" xfId="4344"/>
    <cellStyle name="Standaard 2 34" xfId="365"/>
    <cellStyle name="Standaard 2 34 2" xfId="4345"/>
    <cellStyle name="Standaard 2 35" xfId="366"/>
    <cellStyle name="Standaard 2 35 2" xfId="4346"/>
    <cellStyle name="Standaard 2 36" xfId="367"/>
    <cellStyle name="Standaard 2 36 2" xfId="4347"/>
    <cellStyle name="Standaard 2 37" xfId="368"/>
    <cellStyle name="Standaard 2 37 2" xfId="4348"/>
    <cellStyle name="Standaard 2 38" xfId="369"/>
    <cellStyle name="Standaard 2 38 2" xfId="4349"/>
    <cellStyle name="Standaard 2 39" xfId="370"/>
    <cellStyle name="Standaard 2 39 2" xfId="4350"/>
    <cellStyle name="Standaard 2 4" xfId="371"/>
    <cellStyle name="Standaard 2 4 2" xfId="4351"/>
    <cellStyle name="Standaard 2 40" xfId="372"/>
    <cellStyle name="Standaard 2 40 2" xfId="4352"/>
    <cellStyle name="Standaard 2 41" xfId="373"/>
    <cellStyle name="Standaard 2 41 2" xfId="4353"/>
    <cellStyle name="Standaard 2 42" xfId="374"/>
    <cellStyle name="Standaard 2 42 2" xfId="4354"/>
    <cellStyle name="Standaard 2 43" xfId="375"/>
    <cellStyle name="Standaard 2 43 2" xfId="4355"/>
    <cellStyle name="Standaard 2 44" xfId="376"/>
    <cellStyle name="Standaard 2 44 2" xfId="4356"/>
    <cellStyle name="Standaard 2 45" xfId="377"/>
    <cellStyle name="Standaard 2 45 2" xfId="4357"/>
    <cellStyle name="Standaard 2 46" xfId="378"/>
    <cellStyle name="Standaard 2 46 2" xfId="4358"/>
    <cellStyle name="Standaard 2 47" xfId="379"/>
    <cellStyle name="Standaard 2 47 2" xfId="4359"/>
    <cellStyle name="Standaard 2 48" xfId="380"/>
    <cellStyle name="Standaard 2 48 2" xfId="4360"/>
    <cellStyle name="Standaard 2 49" xfId="381"/>
    <cellStyle name="Standaard 2 49 2" xfId="4361"/>
    <cellStyle name="Standaard 2 5" xfId="382"/>
    <cellStyle name="Standaard 2 5 2" xfId="4362"/>
    <cellStyle name="Standaard 2 50" xfId="383"/>
    <cellStyle name="Standaard 2 50 2" xfId="4363"/>
    <cellStyle name="Standaard 2 51" xfId="384"/>
    <cellStyle name="Standaard 2 51 2" xfId="4364"/>
    <cellStyle name="Standaard 2 52" xfId="385"/>
    <cellStyle name="Standaard 2 52 2" xfId="4365"/>
    <cellStyle name="Standaard 2 53" xfId="386"/>
    <cellStyle name="Standaard 2 53 2" xfId="4366"/>
    <cellStyle name="Standaard 2 54" xfId="4318"/>
    <cellStyle name="Standaard 2 6" xfId="387"/>
    <cellStyle name="Standaard 2 6 2" xfId="4367"/>
    <cellStyle name="Standaard 2 7" xfId="388"/>
    <cellStyle name="Standaard 2 7 2" xfId="4368"/>
    <cellStyle name="Standaard 2 8" xfId="389"/>
    <cellStyle name="Standaard 2 8 2" xfId="4369"/>
    <cellStyle name="Standaard 2 9" xfId="390"/>
    <cellStyle name="Standaard 2 9 2" xfId="4370"/>
    <cellStyle name="Standaard 2_Generic MCS (BGD) Aug 2010" xfId="391"/>
    <cellStyle name="Standard_ADZ Manu" xfId="392"/>
    <cellStyle name="Style 1" xfId="393"/>
    <cellStyle name="Style 1 2" xfId="394"/>
    <cellStyle name="Thanh" xfId="395"/>
    <cellStyle name="Title 2" xfId="396"/>
    <cellStyle name="Total 2" xfId="397"/>
    <cellStyle name="Total 2 2" xfId="4371"/>
    <cellStyle name="Warning Text 2" xfId="398"/>
    <cellStyle name="標準_労働条件e" xfId="415"/>
    <cellStyle name="常规_Book1" xfId="414"/>
    <cellStyle name="貨幣 [0]_Book1" xfId="416"/>
    <cellStyle name="貨幣_Book1" xfId="417"/>
    <cellStyle name="똿뗦먛귟 [0.00]_PRODUCT DETAIL Q1" xfId="399"/>
    <cellStyle name="똿뗦먛귟_PRODUCT DETAIL Q1" xfId="400"/>
    <cellStyle name="千分位[0]_Book1" xfId="412"/>
    <cellStyle name="千分位_Book1" xfId="413"/>
    <cellStyle name="一般_Book1" xfId="411"/>
    <cellStyle name="믅됞 [0.00]_PRODUCT DETAIL Q1" xfId="401"/>
    <cellStyle name="믅됞_PRODUCT DETAIL Q1" xfId="402"/>
    <cellStyle name="백분율_95" xfId="403"/>
    <cellStyle name="뷭?_BOOKSHIP" xfId="404"/>
    <cellStyle name="콤마 [0]_1202" xfId="405"/>
    <cellStyle name="콤마_1202" xfId="406"/>
    <cellStyle name="통화 [0]_1202" xfId="407"/>
    <cellStyle name="통화_1202" xfId="408"/>
    <cellStyle name="표준 2" xfId="409"/>
    <cellStyle name="표준 2 2" xfId="4372"/>
    <cellStyle name="표준_(정보부문)월별인원계획" xfId="4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30"/>
      <c:rotY val="0"/>
      <c:rAngAx val="0"/>
    </c:view3D>
    <c:floor>
      <c:thickness val="0"/>
    </c:floor>
    <c:sideWall>
      <c:thickness val="0"/>
    </c:sideWall>
    <c:backWall>
      <c:thickness val="0"/>
    </c:backWall>
    <c:plotArea>
      <c:layout/>
      <c:pie3DChart>
        <c:varyColors val="1"/>
        <c:ser>
          <c:idx val="0"/>
          <c:order val="0"/>
          <c:cat>
            <c:strRef>
              <c:f>Summary!$A$9:$A$12</c:f>
              <c:strCache>
                <c:ptCount val="4"/>
                <c:pt idx="0">
                  <c:v>Scenarios part of Master Data</c:v>
                </c:pt>
                <c:pt idx="1">
                  <c:v>Scenarios part of Transactional Data</c:v>
                </c:pt>
                <c:pt idx="2">
                  <c:v>Scenarios ER Information/Accruals</c:v>
                </c:pt>
                <c:pt idx="3">
                  <c:v>Scenarios Stat/YearEnd Reporting</c:v>
                </c:pt>
              </c:strCache>
            </c:strRef>
          </c:cat>
          <c:val>
            <c:numRef>
              <c:f>Summary!$B$9:$B$12</c:f>
              <c:numCache>
                <c:formatCode>General</c:formatCode>
                <c:ptCount val="4"/>
                <c:pt idx="0">
                  <c:v>22</c:v>
                </c:pt>
                <c:pt idx="1">
                  <c:v>38</c:v>
                </c:pt>
                <c:pt idx="2">
                  <c:v>1</c:v>
                </c:pt>
                <c:pt idx="3">
                  <c:v>3</c:v>
                </c:pt>
              </c:numCache>
            </c:numRef>
          </c:val>
        </c:ser>
        <c:dLbls>
          <c:showLegendKey val="0"/>
          <c:showVal val="0"/>
          <c:showCatName val="0"/>
          <c:showSerName val="0"/>
          <c:showPercent val="0"/>
          <c:showBubbleSize val="0"/>
          <c:showLeaderLines val="1"/>
        </c:dLbls>
      </c:pie3DChart>
    </c:plotArea>
    <c:legend>
      <c:legendPos val="r"/>
      <c:layout/>
      <c:overlay val="0"/>
    </c:legend>
    <c:plotVisOnly val="1"/>
    <c:dispBlanksAs val="gap"/>
    <c:showDLblsOverMax val="0"/>
  </c:chart>
  <c:spPr>
    <a:solidFill>
      <a:schemeClr val="lt1"/>
    </a:solidFill>
    <a:ln w="25400" cap="flat" cmpd="sng" algn="ctr">
      <a:solidFill>
        <a:schemeClr val="accent5"/>
      </a:solidFill>
      <a:prstDash val="solid"/>
    </a:ln>
    <a:effectLst/>
  </c:spPr>
  <c:txPr>
    <a:bodyPr/>
    <a:lstStyle/>
    <a:p>
      <a:pPr>
        <a:defRPr>
          <a:solidFill>
            <a:schemeClr val="dk1"/>
          </a:solidFill>
          <a:latin typeface="+mn-lt"/>
          <a:ea typeface="+mn-ea"/>
          <a:cs typeface="+mn-cs"/>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30"/>
      <c:rotY val="0"/>
      <c:rAngAx val="0"/>
    </c:view3D>
    <c:floor>
      <c:thickness val="0"/>
    </c:floor>
    <c:sideWall>
      <c:thickness val="0"/>
    </c:sideWall>
    <c:backWall>
      <c:thickness val="0"/>
    </c:backWall>
    <c:plotArea>
      <c:layout/>
      <c:pie3DChart>
        <c:varyColors val="1"/>
        <c:ser>
          <c:idx val="0"/>
          <c:order val="0"/>
          <c:cat>
            <c:strRef>
              <c:f>Summary!$D$36:$H$36</c:f>
              <c:strCache>
                <c:ptCount val="5"/>
                <c:pt idx="0">
                  <c:v>Config </c:v>
                </c:pt>
                <c:pt idx="1">
                  <c:v>Clarification</c:v>
                </c:pt>
                <c:pt idx="2">
                  <c:v>New Request CR</c:v>
                </c:pt>
                <c:pt idx="3">
                  <c:v>Master Data</c:v>
                </c:pt>
                <c:pt idx="4">
                  <c:v>Other</c:v>
                </c:pt>
              </c:strCache>
            </c:strRef>
          </c:cat>
          <c:val>
            <c:numRef>
              <c:f>Summary!$D$37:$H$37</c:f>
              <c:numCache>
                <c:formatCode>General</c:formatCode>
                <c:ptCount val="5"/>
                <c:pt idx="0">
                  <c:v>1</c:v>
                </c:pt>
                <c:pt idx="1">
                  <c:v>0</c:v>
                </c:pt>
                <c:pt idx="2">
                  <c:v>0</c:v>
                </c:pt>
                <c:pt idx="3">
                  <c:v>0</c:v>
                </c:pt>
                <c:pt idx="4">
                  <c:v>0</c:v>
                </c:pt>
              </c:numCache>
            </c:numRef>
          </c:val>
        </c:ser>
        <c:dLbls>
          <c:showLegendKey val="0"/>
          <c:showVal val="0"/>
          <c:showCatName val="0"/>
          <c:showSerName val="0"/>
          <c:showPercent val="0"/>
          <c:showBubbleSize val="0"/>
          <c:showLeaderLines val="1"/>
        </c:dLbls>
      </c:pie3DChart>
    </c:plotArea>
    <c:legend>
      <c:legendPos val="r"/>
      <c:layout/>
      <c:overlay val="0"/>
    </c:legend>
    <c:plotVisOnly val="1"/>
    <c:dispBlanksAs val="gap"/>
    <c:showDLblsOverMax val="0"/>
  </c:chart>
  <c:spPr>
    <a:solidFill>
      <a:schemeClr val="lt1"/>
    </a:solidFill>
    <a:ln w="25400" cap="flat" cmpd="sng" algn="ctr">
      <a:solidFill>
        <a:schemeClr val="accent5"/>
      </a:solidFill>
      <a:prstDash val="solid"/>
    </a:ln>
    <a:effectLst/>
  </c:spPr>
  <c:txPr>
    <a:bodyPr/>
    <a:lstStyle/>
    <a:p>
      <a:pPr>
        <a:defRPr>
          <a:solidFill>
            <a:schemeClr val="dk1"/>
          </a:solidFill>
          <a:latin typeface="+mn-lt"/>
          <a:ea typeface="+mn-ea"/>
          <a:cs typeface="+mn-cs"/>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30"/>
      <c:rotY val="0"/>
      <c:rAngAx val="0"/>
    </c:view3D>
    <c:floor>
      <c:thickness val="0"/>
    </c:floor>
    <c:sideWall>
      <c:thickness val="0"/>
    </c:sideWall>
    <c:backWall>
      <c:thickness val="0"/>
    </c:backWall>
    <c:plotArea>
      <c:layout/>
      <c:pie3DChart>
        <c:varyColors val="1"/>
        <c:ser>
          <c:idx val="0"/>
          <c:order val="0"/>
          <c:cat>
            <c:strRef>
              <c:f>Summary!$I$36:$J$36</c:f>
              <c:strCache>
                <c:ptCount val="2"/>
                <c:pt idx="0">
                  <c:v>Open </c:v>
                </c:pt>
                <c:pt idx="1">
                  <c:v>Closed</c:v>
                </c:pt>
              </c:strCache>
            </c:strRef>
          </c:cat>
          <c:val>
            <c:numRef>
              <c:f>Summary!$I$37:$J$37</c:f>
              <c:numCache>
                <c:formatCode>General</c:formatCode>
                <c:ptCount val="2"/>
                <c:pt idx="0">
                  <c:v>1</c:v>
                </c:pt>
                <c:pt idx="1">
                  <c:v>0</c:v>
                </c:pt>
              </c:numCache>
            </c:numRef>
          </c:val>
        </c:ser>
        <c:dLbls>
          <c:showLegendKey val="0"/>
          <c:showVal val="0"/>
          <c:showCatName val="0"/>
          <c:showSerName val="0"/>
          <c:showPercent val="0"/>
          <c:showBubbleSize val="0"/>
          <c:showLeaderLines val="1"/>
        </c:dLbls>
      </c:pie3DChart>
    </c:plotArea>
    <c:legend>
      <c:legendPos val="r"/>
      <c:overlay val="0"/>
    </c:legend>
    <c:plotVisOnly val="1"/>
    <c:dispBlanksAs val="gap"/>
    <c:showDLblsOverMax val="0"/>
  </c:chart>
  <c:spPr>
    <a:solidFill>
      <a:schemeClr val="lt1"/>
    </a:solidFill>
    <a:ln w="25400" cap="flat" cmpd="sng" algn="ctr">
      <a:solidFill>
        <a:schemeClr val="accent5"/>
      </a:solidFill>
      <a:prstDash val="solid"/>
    </a:ln>
    <a:effectLst/>
  </c:spPr>
  <c:txPr>
    <a:bodyPr/>
    <a:lstStyle/>
    <a:p>
      <a:pPr>
        <a:defRPr>
          <a:solidFill>
            <a:schemeClr val="dk1"/>
          </a:solidFill>
          <a:latin typeface="+mn-lt"/>
          <a:ea typeface="+mn-ea"/>
          <a:cs typeface="+mn-cs"/>
        </a:defRPr>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2.jpeg"/><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3</xdr:col>
      <xdr:colOff>288290</xdr:colOff>
      <xdr:row>0</xdr:row>
      <xdr:rowOff>828040</xdr:rowOff>
    </xdr:to>
    <xdr:pic>
      <xdr:nvPicPr>
        <xdr:cNvPr id="3" name="Picture 2"/>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800"/>
        <a:stretch/>
      </xdr:blipFill>
      <xdr:spPr>
        <a:xfrm>
          <a:off x="0" y="0"/>
          <a:ext cx="7475855" cy="828040"/>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18</xdr:col>
      <xdr:colOff>278130</xdr:colOff>
      <xdr:row>0</xdr:row>
      <xdr:rowOff>0</xdr:rowOff>
    </xdr:from>
    <xdr:to>
      <xdr:col>20</xdr:col>
      <xdr:colOff>191929</xdr:colOff>
      <xdr:row>2</xdr:row>
      <xdr:rowOff>352425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9490" y="0"/>
          <a:ext cx="1392079" cy="77152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absolute">
    <xdr:from>
      <xdr:col>17</xdr:col>
      <xdr:colOff>621030</xdr:colOff>
      <xdr:row>0</xdr:row>
      <xdr:rowOff>0</xdr:rowOff>
    </xdr:from>
    <xdr:to>
      <xdr:col>19</xdr:col>
      <xdr:colOff>397669</xdr:colOff>
      <xdr:row>2</xdr:row>
      <xdr:rowOff>352425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9490" y="0"/>
          <a:ext cx="1392079" cy="77152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absolute">
    <xdr:from>
      <xdr:col>17</xdr:col>
      <xdr:colOff>689610</xdr:colOff>
      <xdr:row>0</xdr:row>
      <xdr:rowOff>0</xdr:rowOff>
    </xdr:from>
    <xdr:to>
      <xdr:col>19</xdr:col>
      <xdr:colOff>466249</xdr:colOff>
      <xdr:row>2</xdr:row>
      <xdr:rowOff>352425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9490" y="0"/>
          <a:ext cx="1392079" cy="77152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absolute">
    <xdr:from>
      <xdr:col>17</xdr:col>
      <xdr:colOff>689610</xdr:colOff>
      <xdr:row>0</xdr:row>
      <xdr:rowOff>0</xdr:rowOff>
    </xdr:from>
    <xdr:to>
      <xdr:col>19</xdr:col>
      <xdr:colOff>466249</xdr:colOff>
      <xdr:row>2</xdr:row>
      <xdr:rowOff>352425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9490" y="0"/>
          <a:ext cx="1392079" cy="77152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absolute">
    <xdr:from>
      <xdr:col>21</xdr:col>
      <xdr:colOff>34290</xdr:colOff>
      <xdr:row>0</xdr:row>
      <xdr:rowOff>7620</xdr:rowOff>
    </xdr:from>
    <xdr:to>
      <xdr:col>23</xdr:col>
      <xdr:colOff>146209</xdr:colOff>
      <xdr:row>2</xdr:row>
      <xdr:rowOff>360045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407890" y="7620"/>
          <a:ext cx="1392079" cy="77152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absolute">
    <xdr:from>
      <xdr:col>17</xdr:col>
      <xdr:colOff>689610</xdr:colOff>
      <xdr:row>0</xdr:row>
      <xdr:rowOff>0</xdr:rowOff>
    </xdr:from>
    <xdr:to>
      <xdr:col>19</xdr:col>
      <xdr:colOff>466249</xdr:colOff>
      <xdr:row>2</xdr:row>
      <xdr:rowOff>352425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9490" y="0"/>
          <a:ext cx="1392079" cy="77152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absolute">
    <xdr:from>
      <xdr:col>17</xdr:col>
      <xdr:colOff>689610</xdr:colOff>
      <xdr:row>0</xdr:row>
      <xdr:rowOff>0</xdr:rowOff>
    </xdr:from>
    <xdr:to>
      <xdr:col>19</xdr:col>
      <xdr:colOff>466249</xdr:colOff>
      <xdr:row>2</xdr:row>
      <xdr:rowOff>352425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9490" y="0"/>
          <a:ext cx="1392079" cy="77152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absolute">
    <xdr:from>
      <xdr:col>17</xdr:col>
      <xdr:colOff>689610</xdr:colOff>
      <xdr:row>0</xdr:row>
      <xdr:rowOff>0</xdr:rowOff>
    </xdr:from>
    <xdr:to>
      <xdr:col>19</xdr:col>
      <xdr:colOff>466249</xdr:colOff>
      <xdr:row>2</xdr:row>
      <xdr:rowOff>352425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9490" y="0"/>
          <a:ext cx="1392079" cy="771525"/>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absolute">
    <xdr:from>
      <xdr:col>17</xdr:col>
      <xdr:colOff>689610</xdr:colOff>
      <xdr:row>0</xdr:row>
      <xdr:rowOff>0</xdr:rowOff>
    </xdr:from>
    <xdr:to>
      <xdr:col>19</xdr:col>
      <xdr:colOff>466249</xdr:colOff>
      <xdr:row>2</xdr:row>
      <xdr:rowOff>352425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9490" y="0"/>
          <a:ext cx="1392079" cy="771525"/>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absolute">
    <xdr:from>
      <xdr:col>17</xdr:col>
      <xdr:colOff>689610</xdr:colOff>
      <xdr:row>0</xdr:row>
      <xdr:rowOff>0</xdr:rowOff>
    </xdr:from>
    <xdr:to>
      <xdr:col>19</xdr:col>
      <xdr:colOff>466249</xdr:colOff>
      <xdr:row>2</xdr:row>
      <xdr:rowOff>352425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9490" y="0"/>
          <a:ext cx="1392079" cy="7715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960120</xdr:colOff>
      <xdr:row>0</xdr:row>
      <xdr:rowOff>0</xdr:rowOff>
    </xdr:from>
    <xdr:to>
      <xdr:col>14</xdr:col>
      <xdr:colOff>268129</xdr:colOff>
      <xdr:row>3</xdr:row>
      <xdr:rowOff>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15800" y="0"/>
          <a:ext cx="1350169" cy="771525"/>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absolute">
    <xdr:from>
      <xdr:col>17</xdr:col>
      <xdr:colOff>552450</xdr:colOff>
      <xdr:row>0</xdr:row>
      <xdr:rowOff>0</xdr:rowOff>
    </xdr:from>
    <xdr:to>
      <xdr:col>19</xdr:col>
      <xdr:colOff>565309</xdr:colOff>
      <xdr:row>2</xdr:row>
      <xdr:rowOff>352425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9490" y="0"/>
          <a:ext cx="1392079" cy="771525"/>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absolute">
    <xdr:from>
      <xdr:col>17</xdr:col>
      <xdr:colOff>552450</xdr:colOff>
      <xdr:row>0</xdr:row>
      <xdr:rowOff>0</xdr:rowOff>
    </xdr:from>
    <xdr:to>
      <xdr:col>20</xdr:col>
      <xdr:colOff>24289</xdr:colOff>
      <xdr:row>2</xdr:row>
      <xdr:rowOff>352425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9490" y="0"/>
          <a:ext cx="1392079" cy="771525"/>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5</xdr:col>
      <xdr:colOff>3465830</xdr:colOff>
      <xdr:row>0</xdr:row>
      <xdr:rowOff>828040</xdr:rowOff>
    </xdr:to>
    <xdr:pic>
      <xdr:nvPicPr>
        <xdr:cNvPr id="2" name="Picture 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800"/>
        <a:stretch/>
      </xdr:blipFill>
      <xdr:spPr>
        <a:xfrm>
          <a:off x="0" y="0"/>
          <a:ext cx="3656330" cy="16129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9</xdr:col>
      <xdr:colOff>1485900</xdr:colOff>
      <xdr:row>0</xdr:row>
      <xdr:rowOff>0</xdr:rowOff>
    </xdr:from>
    <xdr:to>
      <xdr:col>9</xdr:col>
      <xdr:colOff>2836069</xdr:colOff>
      <xdr:row>3</xdr:row>
      <xdr:rowOff>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25325" y="0"/>
          <a:ext cx="1350169" cy="7715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12</xdr:col>
      <xdr:colOff>104775</xdr:colOff>
      <xdr:row>0</xdr:row>
      <xdr:rowOff>0</xdr:rowOff>
    </xdr:from>
    <xdr:to>
      <xdr:col>14</xdr:col>
      <xdr:colOff>235744</xdr:colOff>
      <xdr:row>3</xdr:row>
      <xdr:rowOff>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687425" y="0"/>
          <a:ext cx="1350169" cy="7715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4</xdr:col>
      <xdr:colOff>0</xdr:colOff>
      <xdr:row>0</xdr:row>
      <xdr:rowOff>0</xdr:rowOff>
    </xdr:from>
    <xdr:to>
      <xdr:col>6</xdr:col>
      <xdr:colOff>130969</xdr:colOff>
      <xdr:row>3</xdr:row>
      <xdr:rowOff>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39150" y="0"/>
          <a:ext cx="1350169" cy="7715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absolute">
    <xdr:from>
      <xdr:col>7</xdr:col>
      <xdr:colOff>312420</xdr:colOff>
      <xdr:row>0</xdr:row>
      <xdr:rowOff>0</xdr:rowOff>
    </xdr:from>
    <xdr:to>
      <xdr:col>9</xdr:col>
      <xdr:colOff>443389</xdr:colOff>
      <xdr:row>3</xdr:row>
      <xdr:rowOff>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05900" y="0"/>
          <a:ext cx="1350169" cy="7715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absolute">
    <xdr:from>
      <xdr:col>14</xdr:col>
      <xdr:colOff>66675</xdr:colOff>
      <xdr:row>0</xdr:row>
      <xdr:rowOff>0</xdr:rowOff>
    </xdr:from>
    <xdr:to>
      <xdr:col>16</xdr:col>
      <xdr:colOff>197644</xdr:colOff>
      <xdr:row>3</xdr:row>
      <xdr:rowOff>219075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258675" y="0"/>
          <a:ext cx="1350169" cy="771525"/>
        </a:xfrm>
        <a:prstGeom prst="rect">
          <a:avLst/>
        </a:prstGeom>
      </xdr:spPr>
    </xdr:pic>
    <xdr:clientData/>
  </xdr:twoCellAnchor>
  <xdr:twoCellAnchor>
    <xdr:from>
      <xdr:col>0</xdr:col>
      <xdr:colOff>0</xdr:colOff>
      <xdr:row>13</xdr:row>
      <xdr:rowOff>14287</xdr:rowOff>
    </xdr:from>
    <xdr:to>
      <xdr:col>4</xdr:col>
      <xdr:colOff>474000</xdr:colOff>
      <xdr:row>27</xdr:row>
      <xdr:rowOff>123337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361950</xdr:colOff>
      <xdr:row>35</xdr:row>
      <xdr:rowOff>42862</xdr:rowOff>
    </xdr:from>
    <xdr:to>
      <xdr:col>16</xdr:col>
      <xdr:colOff>312075</xdr:colOff>
      <xdr:row>49</xdr:row>
      <xdr:rowOff>151912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371475</xdr:colOff>
      <xdr:row>50</xdr:row>
      <xdr:rowOff>119062</xdr:rowOff>
    </xdr:from>
    <xdr:to>
      <xdr:col>16</xdr:col>
      <xdr:colOff>321600</xdr:colOff>
      <xdr:row>65</xdr:row>
      <xdr:rowOff>66187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absolute">
    <xdr:from>
      <xdr:col>12</xdr:col>
      <xdr:colOff>529590</xdr:colOff>
      <xdr:row>0</xdr:row>
      <xdr:rowOff>0</xdr:rowOff>
    </xdr:from>
    <xdr:to>
      <xdr:col>14</xdr:col>
      <xdr:colOff>431959</xdr:colOff>
      <xdr:row>2</xdr:row>
      <xdr:rowOff>352425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448800" y="0"/>
          <a:ext cx="1350169" cy="77152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absolute">
    <xdr:from>
      <xdr:col>18</xdr:col>
      <xdr:colOff>278130</xdr:colOff>
      <xdr:row>0</xdr:row>
      <xdr:rowOff>0</xdr:rowOff>
    </xdr:from>
    <xdr:to>
      <xdr:col>20</xdr:col>
      <xdr:colOff>191929</xdr:colOff>
      <xdr:row>2</xdr:row>
      <xdr:rowOff>352425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744700" y="0"/>
          <a:ext cx="1350169" cy="7715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5.bin"/><Relationship Id="rId4" Type="http://schemas.openxmlformats.org/officeDocument/2006/relationships/comments" Target="../comments6.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6.bin"/><Relationship Id="rId4" Type="http://schemas.openxmlformats.org/officeDocument/2006/relationships/comments" Target="../comments7.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7.bin"/><Relationship Id="rId4" Type="http://schemas.openxmlformats.org/officeDocument/2006/relationships/comments" Target="../comments8.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2.xml"/><Relationship Id="rId1" Type="http://schemas.openxmlformats.org/officeDocument/2006/relationships/printerSettings" Target="../printerSettings/printerSettings8.bin"/><Relationship Id="rId4" Type="http://schemas.openxmlformats.org/officeDocument/2006/relationships/comments" Target="../comments9.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3.xml"/><Relationship Id="rId1" Type="http://schemas.openxmlformats.org/officeDocument/2006/relationships/printerSettings" Target="../printerSettings/printerSettings9.bin"/><Relationship Id="rId4" Type="http://schemas.openxmlformats.org/officeDocument/2006/relationships/comments" Target="../comments10.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4.xml"/><Relationship Id="rId1" Type="http://schemas.openxmlformats.org/officeDocument/2006/relationships/printerSettings" Target="../printerSettings/printerSettings10.bin"/><Relationship Id="rId4" Type="http://schemas.openxmlformats.org/officeDocument/2006/relationships/comments" Target="../comments11.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5.xml"/><Relationship Id="rId1" Type="http://schemas.openxmlformats.org/officeDocument/2006/relationships/printerSettings" Target="../printerSettings/printerSettings11.bin"/><Relationship Id="rId4" Type="http://schemas.openxmlformats.org/officeDocument/2006/relationships/comments" Target="../comments12.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6.xml"/><Relationship Id="rId1" Type="http://schemas.openxmlformats.org/officeDocument/2006/relationships/printerSettings" Target="../printerSettings/printerSettings12.bin"/><Relationship Id="rId4" Type="http://schemas.openxmlformats.org/officeDocument/2006/relationships/comments" Target="../comments13.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7.xml"/><Relationship Id="rId1" Type="http://schemas.openxmlformats.org/officeDocument/2006/relationships/printerSettings" Target="../printerSettings/printerSettings13.bin"/><Relationship Id="rId4" Type="http://schemas.openxmlformats.org/officeDocument/2006/relationships/comments" Target="../comments14.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8.xml"/><Relationship Id="rId1" Type="http://schemas.openxmlformats.org/officeDocument/2006/relationships/printerSettings" Target="../printerSettings/printerSettings14.bin"/><Relationship Id="rId4" Type="http://schemas.openxmlformats.org/officeDocument/2006/relationships/comments" Target="../comments15.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9.xml"/><Relationship Id="rId1" Type="http://schemas.openxmlformats.org/officeDocument/2006/relationships/printerSettings" Target="../printerSettings/printerSettings15.bin"/><Relationship Id="rId4" Type="http://schemas.openxmlformats.org/officeDocument/2006/relationships/comments" Target="../comments16.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20.xml"/><Relationship Id="rId1" Type="http://schemas.openxmlformats.org/officeDocument/2006/relationships/printerSettings" Target="../printerSettings/printerSettings16.bin"/><Relationship Id="rId4" Type="http://schemas.openxmlformats.org/officeDocument/2006/relationships/comments" Target="../comments17.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21.xml"/><Relationship Id="rId1" Type="http://schemas.openxmlformats.org/officeDocument/2006/relationships/printerSettings" Target="../printerSettings/printerSettings17.bin"/><Relationship Id="rId4" Type="http://schemas.openxmlformats.org/officeDocument/2006/relationships/comments" Target="../comments18.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4.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opLeftCell="A19" workbookViewId="0">
      <selection activeCell="C21" sqref="C21"/>
    </sheetView>
  </sheetViews>
  <sheetFormatPr defaultColWidth="9.109375" defaultRowHeight="13.8"/>
  <cols>
    <col min="1" max="1" width="21.44140625" style="470" customWidth="1"/>
    <col min="2" max="2" width="25.33203125" style="5" customWidth="1"/>
    <col min="3" max="3" width="60.109375" style="5" bestFit="1" customWidth="1"/>
    <col min="4" max="4" width="37.6640625" style="5" customWidth="1"/>
    <col min="5" max="5" width="10.109375" style="5" customWidth="1"/>
    <col min="6" max="6" width="13.33203125" style="5" customWidth="1"/>
    <col min="7" max="16384" width="9.109375" style="5"/>
  </cols>
  <sheetData>
    <row r="1" spans="1:6" ht="75" customHeight="1">
      <c r="B1" s="103"/>
      <c r="C1" s="103"/>
      <c r="D1" s="103"/>
      <c r="E1" s="103"/>
      <c r="F1" s="103"/>
    </row>
    <row r="2" spans="1:6" ht="42.6">
      <c r="A2" s="665" t="s">
        <v>6</v>
      </c>
    </row>
    <row r="4" spans="1:6">
      <c r="A4" s="666" t="s">
        <v>115</v>
      </c>
      <c r="B4" s="104" t="s">
        <v>944</v>
      </c>
    </row>
    <row r="5" spans="1:6">
      <c r="A5" s="666" t="s">
        <v>116</v>
      </c>
      <c r="B5" s="105" t="s">
        <v>110</v>
      </c>
    </row>
    <row r="6" spans="1:6">
      <c r="A6" s="666" t="s">
        <v>117</v>
      </c>
      <c r="B6" s="104" t="s">
        <v>945</v>
      </c>
    </row>
    <row r="7" spans="1:6">
      <c r="A7" s="666" t="s">
        <v>64</v>
      </c>
      <c r="B7" s="104" t="s">
        <v>946</v>
      </c>
    </row>
    <row r="8" spans="1:6">
      <c r="A8" s="667"/>
      <c r="B8" s="105"/>
    </row>
    <row r="9" spans="1:6">
      <c r="A9" s="669" t="s">
        <v>118</v>
      </c>
      <c r="B9" s="670" t="s">
        <v>129</v>
      </c>
    </row>
    <row r="10" spans="1:6">
      <c r="A10" s="669" t="s">
        <v>94</v>
      </c>
      <c r="B10" s="106">
        <v>3.6</v>
      </c>
    </row>
    <row r="11" spans="1:6">
      <c r="A11" s="667"/>
      <c r="B11" s="105"/>
    </row>
    <row r="12" spans="1:6">
      <c r="A12" s="669" t="s">
        <v>98</v>
      </c>
      <c r="B12" s="105"/>
    </row>
    <row r="13" spans="1:6">
      <c r="A13" s="668" t="s">
        <v>94</v>
      </c>
      <c r="B13" s="108" t="s">
        <v>95</v>
      </c>
      <c r="C13" s="107" t="s">
        <v>96</v>
      </c>
    </row>
    <row r="14" spans="1:6">
      <c r="A14" s="470">
        <v>0.1</v>
      </c>
      <c r="B14" s="109">
        <v>43770</v>
      </c>
      <c r="C14" s="5" t="s">
        <v>99</v>
      </c>
    </row>
    <row r="15" spans="1:6" ht="138">
      <c r="A15" s="470">
        <v>0.2</v>
      </c>
      <c r="B15" s="641">
        <v>43805</v>
      </c>
      <c r="C15" s="635" t="s">
        <v>1212</v>
      </c>
    </row>
    <row r="16" spans="1:6" ht="96.6">
      <c r="A16" s="470">
        <v>0.3</v>
      </c>
      <c r="B16" s="641">
        <v>43810</v>
      </c>
      <c r="C16" s="635" t="s">
        <v>1250</v>
      </c>
    </row>
    <row r="17" spans="1:3">
      <c r="A17" s="470">
        <v>0.4</v>
      </c>
      <c r="B17" s="641">
        <v>43818</v>
      </c>
      <c r="C17" s="5" t="s">
        <v>1252</v>
      </c>
    </row>
    <row r="18" spans="1:3" ht="124.2">
      <c r="A18" s="470" t="s">
        <v>1254</v>
      </c>
      <c r="B18" s="641">
        <v>43875</v>
      </c>
      <c r="C18" s="635" t="s">
        <v>1256</v>
      </c>
    </row>
    <row r="19" spans="1:3" ht="151.80000000000001">
      <c r="A19" s="470">
        <v>1.1000000000000001</v>
      </c>
      <c r="B19" s="641">
        <v>43878</v>
      </c>
      <c r="C19" s="635" t="s">
        <v>1280</v>
      </c>
    </row>
    <row r="20" spans="1:3" ht="110.4">
      <c r="A20" s="470">
        <v>1.2</v>
      </c>
      <c r="C20" s="635" t="s">
        <v>1296</v>
      </c>
    </row>
  </sheetData>
  <phoneticPr fontId="11" type="noConversion"/>
  <pageMargins left="0.75" right="0.75" top="1" bottom="1" header="0.5" footer="0.5"/>
  <headerFooter alignWithMargins="0"/>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C139"/>
  <sheetViews>
    <sheetView tabSelected="1" workbookViewId="0">
      <pane xSplit="1" ySplit="9" topLeftCell="B31" activePane="bottomRight" state="frozen"/>
      <selection pane="topRight" activeCell="B1" sqref="B1"/>
      <selection pane="bottomLeft" activeCell="A10" sqref="A10"/>
      <selection pane="bottomRight" activeCell="D37" sqref="D37"/>
    </sheetView>
  </sheetViews>
  <sheetFormatPr defaultRowHeight="13.8"/>
  <cols>
    <col min="1" max="1" width="31" style="5" bestFit="1" customWidth="1"/>
    <col min="2" max="5" width="10.77734375" style="5" customWidth="1"/>
    <col min="6" max="21" width="10.77734375" customWidth="1"/>
    <col min="22" max="26" width="9.33203125" style="5" customWidth="1"/>
    <col min="27" max="27" width="9.33203125" style="5" bestFit="1" customWidth="1"/>
    <col min="28" max="29" width="9.33203125" style="5" customWidth="1"/>
  </cols>
  <sheetData>
    <row r="1" spans="1:29" s="3" customFormat="1" ht="20.399999999999999">
      <c r="A1" s="110" t="s">
        <v>6</v>
      </c>
      <c r="B1" s="110"/>
      <c r="C1" s="110"/>
      <c r="D1" s="110"/>
      <c r="E1" s="110"/>
      <c r="F1" s="101"/>
      <c r="L1" s="8"/>
      <c r="X1" s="1"/>
      <c r="Y1" s="1"/>
      <c r="Z1" s="1"/>
      <c r="AA1" s="1"/>
      <c r="AB1" s="1"/>
      <c r="AC1" s="1"/>
    </row>
    <row r="2" spans="1:29" s="3" customFormat="1" ht="12.75" customHeight="1">
      <c r="B2" s="116"/>
      <c r="C2" s="116"/>
      <c r="D2" s="116"/>
      <c r="E2" s="115"/>
      <c r="V2" s="22"/>
      <c r="W2" s="22"/>
      <c r="X2" s="22"/>
      <c r="Y2" s="22"/>
      <c r="Z2" s="22"/>
      <c r="AA2" s="2"/>
      <c r="AC2" s="2"/>
    </row>
    <row r="3" spans="1:29" s="3" customFormat="1" ht="30">
      <c r="A3" s="112" t="s">
        <v>974</v>
      </c>
      <c r="B3" s="116"/>
      <c r="C3" s="116"/>
      <c r="D3" s="116"/>
      <c r="E3" s="112"/>
      <c r="V3" s="22"/>
      <c r="W3" s="22"/>
      <c r="X3" s="22"/>
      <c r="Y3" s="22"/>
      <c r="Z3" s="22"/>
      <c r="AA3" s="2"/>
      <c r="AC3" s="2"/>
    </row>
    <row r="4" spans="1:29" s="116" customFormat="1">
      <c r="A4" s="116" t="s">
        <v>599</v>
      </c>
      <c r="B4" s="367">
        <v>23205</v>
      </c>
    </row>
    <row r="5" spans="1:29" s="116" customFormat="1">
      <c r="A5" s="116" t="s">
        <v>1273</v>
      </c>
      <c r="B5" s="367">
        <v>23500</v>
      </c>
    </row>
    <row r="6" spans="1:29" s="3" customFormat="1" ht="18" customHeight="1">
      <c r="A6" s="327">
        <v>43496</v>
      </c>
      <c r="B6" s="116"/>
      <c r="C6" s="116"/>
      <c r="D6" s="116"/>
      <c r="G6" s="721" t="s">
        <v>52</v>
      </c>
      <c r="H6" s="721"/>
      <c r="I6" s="721"/>
      <c r="J6" s="721"/>
      <c r="V6" s="22"/>
      <c r="W6" s="22"/>
      <c r="X6" s="720" t="s">
        <v>65</v>
      </c>
      <c r="Y6" s="720"/>
      <c r="Z6" s="720"/>
      <c r="AA6" s="720"/>
      <c r="AB6" s="2"/>
      <c r="AC6" s="2"/>
    </row>
    <row r="7" spans="1:29" s="4" customFormat="1" ht="27.6">
      <c r="A7" s="409"/>
      <c r="B7" s="323" t="s">
        <v>34</v>
      </c>
      <c r="C7" s="324" t="s">
        <v>35</v>
      </c>
      <c r="D7" s="324" t="s">
        <v>36</v>
      </c>
      <c r="E7" s="324" t="s">
        <v>37</v>
      </c>
      <c r="F7" s="324" t="s">
        <v>38</v>
      </c>
      <c r="G7" s="324" t="s">
        <v>39</v>
      </c>
      <c r="H7" s="324" t="s">
        <v>40</v>
      </c>
      <c r="I7" s="324" t="s">
        <v>41</v>
      </c>
      <c r="J7" s="425" t="s">
        <v>42</v>
      </c>
      <c r="K7" s="324" t="s">
        <v>43</v>
      </c>
      <c r="L7" s="324" t="s">
        <v>44</v>
      </c>
      <c r="M7" s="324" t="s">
        <v>45</v>
      </c>
      <c r="N7" s="324" t="s">
        <v>46</v>
      </c>
      <c r="O7" s="324" t="s">
        <v>47</v>
      </c>
      <c r="P7" s="731" t="s">
        <v>500</v>
      </c>
      <c r="Q7" s="349" t="s">
        <v>516</v>
      </c>
      <c r="R7" s="349" t="s">
        <v>517</v>
      </c>
      <c r="S7" s="349" t="s">
        <v>519</v>
      </c>
      <c r="T7" s="349" t="s">
        <v>521</v>
      </c>
      <c r="U7" s="349" t="s">
        <v>523</v>
      </c>
      <c r="V7" s="350"/>
      <c r="W7" s="351"/>
      <c r="X7" s="351"/>
      <c r="Y7" s="351"/>
      <c r="Z7" s="351"/>
      <c r="AA7" s="351"/>
      <c r="AB7" s="351"/>
      <c r="AC7" s="352"/>
    </row>
    <row r="8" spans="1:29" ht="15.6">
      <c r="A8" s="410"/>
      <c r="B8" s="117">
        <f>'New Hire'!C6</f>
        <v>91999901</v>
      </c>
      <c r="C8" s="339">
        <f>'New Hire'!D6</f>
        <v>91999902</v>
      </c>
      <c r="D8" s="339">
        <f>'New Hire'!E6</f>
        <v>91999903</v>
      </c>
      <c r="E8" s="339">
        <f>'New Hire'!F6</f>
        <v>91999904</v>
      </c>
      <c r="F8" s="339">
        <f>'New Hire'!G6</f>
        <v>91999905</v>
      </c>
      <c r="G8" s="339">
        <f>'New Hire'!H6</f>
        <v>91999906</v>
      </c>
      <c r="H8" s="339">
        <f>'New Hire'!I6</f>
        <v>91999907</v>
      </c>
      <c r="I8" s="339">
        <f>'New Hire'!J6</f>
        <v>91999908</v>
      </c>
      <c r="J8" s="426">
        <f>'New Hire'!K6</f>
        <v>91999909</v>
      </c>
      <c r="K8" s="339">
        <f>'New Hire'!L6</f>
        <v>91999910</v>
      </c>
      <c r="L8" s="339">
        <f>'New Hire'!M6</f>
        <v>91999911</v>
      </c>
      <c r="M8" s="339">
        <f>'New Hire'!N6</f>
        <v>91999912</v>
      </c>
      <c r="N8" s="339">
        <f>'New Hire'!O6</f>
        <v>91999913</v>
      </c>
      <c r="O8" s="339">
        <f>'New Hire'!P6</f>
        <v>91999914</v>
      </c>
      <c r="P8" s="732"/>
      <c r="Q8" s="349" t="s">
        <v>515</v>
      </c>
      <c r="R8" s="349" t="s">
        <v>518</v>
      </c>
      <c r="S8" s="349" t="s">
        <v>520</v>
      </c>
      <c r="T8" s="349" t="s">
        <v>522</v>
      </c>
      <c r="U8" s="349" t="s">
        <v>524</v>
      </c>
      <c r="V8" s="47"/>
      <c r="W8" s="48"/>
      <c r="X8" s="20"/>
      <c r="Y8" s="20"/>
      <c r="Z8" s="20"/>
      <c r="AA8" s="20"/>
      <c r="AB8" s="20"/>
      <c r="AC8" s="15"/>
    </row>
    <row r="9" spans="1:29" ht="12.75" customHeight="1">
      <c r="A9" s="411" t="s">
        <v>63</v>
      </c>
      <c r="B9" s="23"/>
      <c r="C9" s="19"/>
      <c r="D9" s="19"/>
      <c r="E9" s="20"/>
      <c r="F9" s="19"/>
      <c r="G9" s="19"/>
      <c r="H9" s="21"/>
      <c r="I9" s="19"/>
      <c r="J9" s="427"/>
      <c r="K9" s="20"/>
      <c r="L9" s="20"/>
      <c r="M9" s="20"/>
      <c r="N9" s="20"/>
      <c r="O9" s="20"/>
      <c r="P9" s="342"/>
      <c r="Q9" s="20"/>
      <c r="R9" s="20"/>
      <c r="S9" s="20"/>
      <c r="T9" s="20"/>
      <c r="U9" s="20"/>
      <c r="V9" s="25"/>
      <c r="W9" s="26"/>
      <c r="X9" s="722" t="s">
        <v>68</v>
      </c>
      <c r="Y9" s="723"/>
      <c r="Z9" s="723"/>
      <c r="AA9" s="724"/>
      <c r="AB9" s="27"/>
      <c r="AC9" s="18"/>
    </row>
    <row r="10" spans="1:29">
      <c r="A10" s="99" t="s">
        <v>480</v>
      </c>
      <c r="B10" s="384">
        <f>'New Hire'!C7</f>
        <v>43466</v>
      </c>
      <c r="C10" s="385">
        <f>'New Hire'!D7</f>
        <v>43466</v>
      </c>
      <c r="D10" s="385">
        <f>'New Hire'!E7</f>
        <v>43473</v>
      </c>
      <c r="E10" s="385">
        <f>'New Hire'!F7</f>
        <v>43466</v>
      </c>
      <c r="F10" s="385">
        <f>'New Hire'!G7</f>
        <v>43466</v>
      </c>
      <c r="G10" s="385">
        <f>'New Hire'!H7</f>
        <v>43466</v>
      </c>
      <c r="H10" s="385">
        <f>'New Hire'!I7</f>
        <v>43466</v>
      </c>
      <c r="I10" s="385">
        <f>'New Hire'!J7</f>
        <v>43483</v>
      </c>
      <c r="J10" s="428">
        <f>'New Hire'!K7</f>
        <v>43494</v>
      </c>
      <c r="K10" s="385">
        <f>'New Hire'!L7</f>
        <v>43466</v>
      </c>
      <c r="L10" s="385">
        <f>'New Hire'!M7</f>
        <v>43466</v>
      </c>
      <c r="M10" s="385">
        <f>'New Hire'!N7</f>
        <v>43466</v>
      </c>
      <c r="N10" s="385">
        <f>'New Hire'!O7</f>
        <v>43466</v>
      </c>
      <c r="O10" s="385">
        <f>'New Hire'!P7</f>
        <v>43466</v>
      </c>
      <c r="P10" s="342"/>
      <c r="Q10" s="20"/>
      <c r="R10" s="20"/>
      <c r="S10" s="20"/>
      <c r="T10" s="20"/>
      <c r="U10" s="20"/>
      <c r="V10" s="28"/>
      <c r="W10" s="29"/>
      <c r="X10" s="725"/>
      <c r="Y10" s="726"/>
      <c r="Z10" s="726"/>
      <c r="AA10" s="727"/>
      <c r="AB10" s="30"/>
      <c r="AC10" s="15"/>
    </row>
    <row r="11" spans="1:29" ht="12.75" customHeight="1">
      <c r="A11" s="99" t="s">
        <v>491</v>
      </c>
      <c r="B11" s="387" t="str">
        <f>'New Hire'!C10</f>
        <v>1</v>
      </c>
      <c r="C11" s="388" t="str">
        <f>'New Hire'!D10</f>
        <v>P</v>
      </c>
      <c r="D11" s="388" t="str">
        <f>'New Hire'!E10</f>
        <v>3</v>
      </c>
      <c r="E11" s="388" t="str">
        <f>'New Hire'!F10</f>
        <v>3</v>
      </c>
      <c r="F11" s="388">
        <f>'New Hire'!G10</f>
        <v>4</v>
      </c>
      <c r="G11" s="388" t="str">
        <f>'New Hire'!H10</f>
        <v>C</v>
      </c>
      <c r="H11" s="388" t="str">
        <f>'New Hire'!I10</f>
        <v>I</v>
      </c>
      <c r="I11" s="388" t="str">
        <f>'New Hire'!J10</f>
        <v>S</v>
      </c>
      <c r="J11" s="429" t="str">
        <f>'New Hire'!K10</f>
        <v>P</v>
      </c>
      <c r="K11" s="388" t="str">
        <f>'New Hire'!L10</f>
        <v>1</v>
      </c>
      <c r="L11" s="388" t="str">
        <f>'New Hire'!M10</f>
        <v>1</v>
      </c>
      <c r="M11" s="388">
        <f>'New Hire'!N10</f>
        <v>3</v>
      </c>
      <c r="N11" s="388">
        <f>'New Hire'!O10</f>
        <v>3</v>
      </c>
      <c r="O11" s="388" t="str">
        <f>'New Hire'!P10</f>
        <v>C</v>
      </c>
      <c r="P11" s="342"/>
      <c r="Q11" s="20"/>
      <c r="R11" s="20"/>
      <c r="S11" s="20"/>
      <c r="T11" s="20"/>
      <c r="U11" s="20"/>
      <c r="V11" s="32"/>
      <c r="W11" s="20"/>
      <c r="X11" s="725"/>
      <c r="Y11" s="726"/>
      <c r="Z11" s="726"/>
      <c r="AA11" s="727"/>
      <c r="AB11" s="20"/>
      <c r="AC11" s="15"/>
    </row>
    <row r="12" spans="1:29" ht="12.75" customHeight="1">
      <c r="A12" s="99" t="s">
        <v>492</v>
      </c>
      <c r="B12" s="390" t="str">
        <f>'New Hire'!C11</f>
        <v>;P</v>
      </c>
      <c r="C12" s="391" t="str">
        <f>'New Hire'!D11</f>
        <v>;A</v>
      </c>
      <c r="D12" s="391" t="str">
        <f>'New Hire'!E11</f>
        <v>;E</v>
      </c>
      <c r="E12" s="391" t="str">
        <f>'New Hire'!F11</f>
        <v>;I</v>
      </c>
      <c r="F12" s="391" t="str">
        <f>'New Hire'!G11</f>
        <v>;P</v>
      </c>
      <c r="G12" s="391" t="str">
        <f>'New Hire'!H11</f>
        <v>;A</v>
      </c>
      <c r="H12" s="391" t="str">
        <f>'New Hire'!I11</f>
        <v>;A</v>
      </c>
      <c r="I12" s="391" t="str">
        <f>'New Hire'!J11</f>
        <v>;V</v>
      </c>
      <c r="J12" s="430" t="str">
        <f>'New Hire'!K11</f>
        <v>;P</v>
      </c>
      <c r="K12" s="391" t="str">
        <f>'New Hire'!L11</f>
        <v>;A</v>
      </c>
      <c r="L12" s="391" t="str">
        <f>'New Hire'!M11</f>
        <v>;I</v>
      </c>
      <c r="M12" s="391" t="str">
        <f>'New Hire'!N11</f>
        <v>;P</v>
      </c>
      <c r="N12" s="391" t="str">
        <f>'New Hire'!O11</f>
        <v>;I</v>
      </c>
      <c r="O12" s="391" t="str">
        <f>'New Hire'!P11</f>
        <v>;I</v>
      </c>
      <c r="P12" s="342"/>
      <c r="Q12" s="20"/>
      <c r="R12" s="20"/>
      <c r="S12" s="20"/>
      <c r="T12" s="20"/>
      <c r="U12" s="20"/>
      <c r="V12" s="32"/>
      <c r="W12" s="20"/>
      <c r="X12" s="728"/>
      <c r="Y12" s="729"/>
      <c r="Z12" s="729"/>
      <c r="AA12" s="730"/>
      <c r="AB12" s="20"/>
      <c r="AC12" s="15"/>
    </row>
    <row r="13" spans="1:29">
      <c r="A13" s="100" t="s">
        <v>477</v>
      </c>
      <c r="B13" s="394">
        <f>'New Hire'!C26</f>
        <v>100</v>
      </c>
      <c r="C13" s="338">
        <f>'New Hire'!D26</f>
        <v>50</v>
      </c>
      <c r="D13" s="338">
        <f>'New Hire'!E26</f>
        <v>100</v>
      </c>
      <c r="E13" s="338">
        <f>'New Hire'!F26</f>
        <v>100</v>
      </c>
      <c r="F13" s="338">
        <f>'New Hire'!G26</f>
        <v>100</v>
      </c>
      <c r="G13" s="338">
        <f>'New Hire'!H26</f>
        <v>100</v>
      </c>
      <c r="H13" s="338">
        <f>'New Hire'!I26</f>
        <v>50</v>
      </c>
      <c r="I13" s="338">
        <f>'New Hire'!J26</f>
        <v>100</v>
      </c>
      <c r="J13" s="432">
        <f>'New Hire'!K26</f>
        <v>50</v>
      </c>
      <c r="K13" s="338">
        <f>'New Hire'!L26</f>
        <v>100</v>
      </c>
      <c r="L13" s="338">
        <f>'New Hire'!M26</f>
        <v>100</v>
      </c>
      <c r="M13" s="338">
        <f>'New Hire'!N26</f>
        <v>100</v>
      </c>
      <c r="N13" s="338">
        <f>'New Hire'!O26</f>
        <v>100</v>
      </c>
      <c r="O13" s="338">
        <f>'New Hire'!P26</f>
        <v>100</v>
      </c>
      <c r="P13" s="342"/>
      <c r="Q13" s="20"/>
      <c r="R13" s="20"/>
      <c r="S13" s="20"/>
      <c r="T13" s="20"/>
      <c r="U13" s="20"/>
      <c r="V13" s="23"/>
      <c r="W13" s="19"/>
      <c r="X13" s="19"/>
      <c r="Y13" s="19"/>
      <c r="Z13" s="19"/>
      <c r="AA13" s="19"/>
      <c r="AB13" s="19"/>
      <c r="AC13" s="31"/>
    </row>
    <row r="14" spans="1:29">
      <c r="A14" s="99" t="s">
        <v>481</v>
      </c>
      <c r="B14" s="394">
        <f t="shared" ref="B14:O14" si="0">NETWORKDAYS(B10,$A$6)</f>
        <v>23</v>
      </c>
      <c r="C14" s="338">
        <f t="shared" si="0"/>
        <v>23</v>
      </c>
      <c r="D14" s="338">
        <f t="shared" si="0"/>
        <v>18</v>
      </c>
      <c r="E14" s="338">
        <f t="shared" si="0"/>
        <v>23</v>
      </c>
      <c r="F14" s="338">
        <f t="shared" si="0"/>
        <v>23</v>
      </c>
      <c r="G14" s="338">
        <f t="shared" si="0"/>
        <v>23</v>
      </c>
      <c r="H14" s="338">
        <f t="shared" si="0"/>
        <v>23</v>
      </c>
      <c r="I14" s="338">
        <f t="shared" si="0"/>
        <v>10</v>
      </c>
      <c r="J14" s="432">
        <f t="shared" si="0"/>
        <v>3</v>
      </c>
      <c r="K14" s="338">
        <f t="shared" si="0"/>
        <v>23</v>
      </c>
      <c r="L14" s="338">
        <f t="shared" si="0"/>
        <v>23</v>
      </c>
      <c r="M14" s="338">
        <f t="shared" si="0"/>
        <v>23</v>
      </c>
      <c r="N14" s="338">
        <f t="shared" si="0"/>
        <v>23</v>
      </c>
      <c r="O14" s="338">
        <f t="shared" si="0"/>
        <v>23</v>
      </c>
      <c r="P14" s="342"/>
      <c r="Q14" s="20"/>
      <c r="R14" s="20"/>
      <c r="S14" s="20"/>
      <c r="T14" s="20"/>
      <c r="U14" s="20"/>
      <c r="V14" s="23"/>
      <c r="W14" s="19"/>
      <c r="X14" s="19"/>
      <c r="Y14" s="19"/>
      <c r="Z14" s="19"/>
      <c r="AA14" s="19"/>
      <c r="AB14" s="19"/>
      <c r="AC14" s="31"/>
    </row>
    <row r="15" spans="1:29">
      <c r="A15" s="424" t="s">
        <v>634</v>
      </c>
      <c r="B15" s="338">
        <f>NETWORKDAYS(EOMONTH($A$6,-1)+1,EOMONTH($A$6,0))</f>
        <v>23</v>
      </c>
      <c r="C15" s="338">
        <f t="shared" ref="C15:O15" si="1">NETWORKDAYS(EOMONTH($A$6,-1)+1,EOMONTH($A$6,0))</f>
        <v>23</v>
      </c>
      <c r="D15" s="338">
        <f t="shared" si="1"/>
        <v>23</v>
      </c>
      <c r="E15" s="338">
        <f t="shared" si="1"/>
        <v>23</v>
      </c>
      <c r="F15" s="338">
        <f t="shared" si="1"/>
        <v>23</v>
      </c>
      <c r="G15" s="338">
        <f t="shared" si="1"/>
        <v>23</v>
      </c>
      <c r="H15" s="338">
        <f t="shared" si="1"/>
        <v>23</v>
      </c>
      <c r="I15" s="338">
        <f t="shared" si="1"/>
        <v>23</v>
      </c>
      <c r="J15" s="432">
        <f t="shared" si="1"/>
        <v>23</v>
      </c>
      <c r="K15" s="338">
        <f t="shared" si="1"/>
        <v>23</v>
      </c>
      <c r="L15" s="338">
        <f t="shared" si="1"/>
        <v>23</v>
      </c>
      <c r="M15" s="338">
        <f t="shared" si="1"/>
        <v>23</v>
      </c>
      <c r="N15" s="338">
        <f t="shared" si="1"/>
        <v>23</v>
      </c>
      <c r="O15" s="338">
        <f t="shared" si="1"/>
        <v>23</v>
      </c>
      <c r="P15" s="342"/>
      <c r="Q15" s="20"/>
      <c r="R15" s="20"/>
      <c r="S15" s="20"/>
      <c r="T15" s="20"/>
      <c r="U15" s="20"/>
      <c r="V15" s="23"/>
      <c r="W15" s="19"/>
      <c r="X15" s="19"/>
      <c r="Y15" s="19"/>
      <c r="Z15" s="19"/>
      <c r="AA15" s="19"/>
      <c r="AB15" s="19"/>
      <c r="AC15" s="31"/>
    </row>
    <row r="16" spans="1:29">
      <c r="A16" s="99" t="s">
        <v>513</v>
      </c>
      <c r="B16" s="396">
        <f t="shared" ref="B16:O16" si="2">_xlfn.DAYS($A$6,B10)+1</f>
        <v>31</v>
      </c>
      <c r="C16" s="335">
        <f t="shared" si="2"/>
        <v>31</v>
      </c>
      <c r="D16" s="335">
        <f t="shared" si="2"/>
        <v>24</v>
      </c>
      <c r="E16" s="335">
        <f t="shared" si="2"/>
        <v>31</v>
      </c>
      <c r="F16" s="335">
        <f t="shared" si="2"/>
        <v>31</v>
      </c>
      <c r="G16" s="335">
        <f t="shared" si="2"/>
        <v>31</v>
      </c>
      <c r="H16" s="335">
        <f t="shared" si="2"/>
        <v>31</v>
      </c>
      <c r="I16" s="335">
        <f t="shared" si="2"/>
        <v>14</v>
      </c>
      <c r="J16" s="433">
        <f t="shared" si="2"/>
        <v>3</v>
      </c>
      <c r="K16" s="335">
        <f t="shared" si="2"/>
        <v>31</v>
      </c>
      <c r="L16" s="335">
        <f t="shared" si="2"/>
        <v>31</v>
      </c>
      <c r="M16" s="335">
        <f t="shared" si="2"/>
        <v>31</v>
      </c>
      <c r="N16" s="335">
        <f t="shared" si="2"/>
        <v>31</v>
      </c>
      <c r="O16" s="335">
        <f t="shared" si="2"/>
        <v>31</v>
      </c>
      <c r="P16" s="342"/>
      <c r="Q16" s="20"/>
      <c r="R16" s="20"/>
      <c r="S16" s="20"/>
      <c r="T16" s="20"/>
      <c r="U16" s="20"/>
      <c r="V16" s="23"/>
      <c r="W16" s="19"/>
      <c r="X16" s="19"/>
      <c r="Y16" s="19"/>
      <c r="Z16" s="19"/>
      <c r="AA16" s="19"/>
      <c r="AB16" s="19"/>
      <c r="AC16" s="31"/>
    </row>
    <row r="17" spans="1:29">
      <c r="A17" s="99" t="s">
        <v>533</v>
      </c>
      <c r="B17" s="336">
        <f>DATEDIF('New Hire'!C41,$A$6,"Y")</f>
        <v>9</v>
      </c>
      <c r="C17" s="337">
        <f>DATEDIF('New Hire'!D41,$A$6,"Y")</f>
        <v>12</v>
      </c>
      <c r="D17" s="337">
        <f>DATEDIF('New Hire'!E41,$A$6,"Y")</f>
        <v>0</v>
      </c>
      <c r="E17" s="337">
        <f>DATEDIF('New Hire'!F41,$A$6,"Y")</f>
        <v>3</v>
      </c>
      <c r="F17" s="337">
        <f>DATEDIF('New Hire'!G41,$A$6,"Y")</f>
        <v>9</v>
      </c>
      <c r="G17" s="337">
        <f>DATEDIF('New Hire'!H41,$A$6,"Y")</f>
        <v>0</v>
      </c>
      <c r="H17" s="337">
        <f>DATEDIF('New Hire'!I41,$A$6,"Y")</f>
        <v>14</v>
      </c>
      <c r="I17" s="337">
        <f>DATEDIF('New Hire'!J41,$A$6,"Y")</f>
        <v>0</v>
      </c>
      <c r="J17" s="431">
        <f>DATEDIF('New Hire'!K41,$A$6,"Y")</f>
        <v>0</v>
      </c>
      <c r="K17" s="337">
        <f>DATEDIF('New Hire'!L41,$A$6,"Y")</f>
        <v>9</v>
      </c>
      <c r="L17" s="337">
        <f>DATEDIF('New Hire'!M41,$A$6,"Y")</f>
        <v>4</v>
      </c>
      <c r="M17" s="337">
        <f>DATEDIF('New Hire'!N41,$A$6,"Y")</f>
        <v>0</v>
      </c>
      <c r="N17" s="337">
        <f>DATEDIF('New Hire'!O41,$A$6,"Y")</f>
        <v>11</v>
      </c>
      <c r="O17" s="337">
        <f>DATEDIF('New Hire'!P41,$A$6,"Y")</f>
        <v>0</v>
      </c>
      <c r="P17" s="342"/>
      <c r="Q17" s="20"/>
      <c r="R17" s="20"/>
      <c r="S17" s="20"/>
      <c r="T17" s="20"/>
      <c r="U17" s="20"/>
      <c r="V17" s="23"/>
      <c r="W17" s="19"/>
      <c r="X17" s="19"/>
      <c r="Y17" s="19"/>
      <c r="Z17" s="19"/>
      <c r="AA17" s="19"/>
      <c r="AB17" s="19"/>
      <c r="AC17" s="31"/>
    </row>
    <row r="18" spans="1:29">
      <c r="A18" s="99" t="s">
        <v>566</v>
      </c>
      <c r="B18" s="336" t="str">
        <f>'New Hire'!C54</f>
        <v>A</v>
      </c>
      <c r="C18" s="337" t="str">
        <f>'New Hire'!D54</f>
        <v>A</v>
      </c>
      <c r="D18" s="337" t="str">
        <f>'New Hire'!E54</f>
        <v>A</v>
      </c>
      <c r="E18" s="337" t="str">
        <f>'New Hire'!F54</f>
        <v>B</v>
      </c>
      <c r="F18" s="337" t="str">
        <f>'New Hire'!G54</f>
        <v>B</v>
      </c>
      <c r="G18" s="337" t="str">
        <f>'New Hire'!H54</f>
        <v>C</v>
      </c>
      <c r="H18" s="337" t="str">
        <f>'New Hire'!I54</f>
        <v>D</v>
      </c>
      <c r="I18" s="337" t="str">
        <f>'New Hire'!J54</f>
        <v>D</v>
      </c>
      <c r="J18" s="431" t="str">
        <f>'New Hire'!K54</f>
        <v>A</v>
      </c>
      <c r="K18" s="337" t="str">
        <f>'New Hire'!L54</f>
        <v>A</v>
      </c>
      <c r="L18" s="337" t="str">
        <f>'New Hire'!M54</f>
        <v>A</v>
      </c>
      <c r="M18" s="337" t="str">
        <f>'New Hire'!N54</f>
        <v>A</v>
      </c>
      <c r="N18" s="337" t="str">
        <f>'New Hire'!O54</f>
        <v>A</v>
      </c>
      <c r="O18" s="337" t="str">
        <f>'New Hire'!P54</f>
        <v>B</v>
      </c>
      <c r="P18" s="342"/>
      <c r="Q18" s="20"/>
      <c r="R18" s="20"/>
      <c r="S18" s="20"/>
      <c r="T18" s="20"/>
      <c r="U18" s="20"/>
      <c r="V18" s="23"/>
      <c r="W18" s="19"/>
      <c r="X18" s="19"/>
      <c r="Y18" s="19"/>
      <c r="Z18" s="19"/>
      <c r="AA18" s="19"/>
      <c r="AB18" s="19"/>
      <c r="AC18" s="31"/>
    </row>
    <row r="19" spans="1:29">
      <c r="A19" s="98" t="s">
        <v>107</v>
      </c>
      <c r="B19" s="91">
        <v>1</v>
      </c>
      <c r="C19" s="89">
        <v>2</v>
      </c>
      <c r="D19" s="89">
        <v>1</v>
      </c>
      <c r="E19" s="89">
        <v>3</v>
      </c>
      <c r="F19" s="89">
        <v>0</v>
      </c>
      <c r="G19" s="89">
        <v>0</v>
      </c>
      <c r="H19" s="89">
        <v>2</v>
      </c>
      <c r="I19" s="89">
        <v>0</v>
      </c>
      <c r="J19" s="434">
        <v>0</v>
      </c>
      <c r="K19" s="89">
        <v>0</v>
      </c>
      <c r="L19" s="89">
        <v>0</v>
      </c>
      <c r="M19" s="89">
        <v>0</v>
      </c>
      <c r="N19" s="89">
        <v>0</v>
      </c>
      <c r="O19" s="89">
        <v>0</v>
      </c>
      <c r="P19" s="342"/>
      <c r="Q19" s="20"/>
      <c r="R19" s="20"/>
      <c r="S19" s="20"/>
      <c r="T19" s="20"/>
      <c r="U19" s="20"/>
      <c r="V19" s="23"/>
      <c r="W19" s="19"/>
      <c r="X19" s="19"/>
      <c r="Y19" s="19"/>
      <c r="Z19" s="19"/>
      <c r="AA19" s="19"/>
      <c r="AB19" s="19"/>
      <c r="AC19" s="31"/>
    </row>
    <row r="20" spans="1:29" ht="15.6">
      <c r="A20" s="97" t="s">
        <v>1261</v>
      </c>
      <c r="B20" s="325">
        <f>3600000*B19</f>
        <v>3600000</v>
      </c>
      <c r="C20" s="90">
        <f t="shared" ref="C20:O20" si="3">3600000*C19</f>
        <v>7200000</v>
      </c>
      <c r="D20" s="90">
        <f t="shared" si="3"/>
        <v>3600000</v>
      </c>
      <c r="E20" s="90">
        <f t="shared" si="3"/>
        <v>10800000</v>
      </c>
      <c r="F20" s="90">
        <f t="shared" si="3"/>
        <v>0</v>
      </c>
      <c r="G20" s="90">
        <f t="shared" si="3"/>
        <v>0</v>
      </c>
      <c r="H20" s="90">
        <f t="shared" si="3"/>
        <v>7200000</v>
      </c>
      <c r="I20" s="90">
        <f t="shared" si="3"/>
        <v>0</v>
      </c>
      <c r="J20" s="435">
        <f t="shared" si="3"/>
        <v>0</v>
      </c>
      <c r="K20" s="90">
        <f t="shared" si="3"/>
        <v>0</v>
      </c>
      <c r="L20" s="90">
        <f t="shared" si="3"/>
        <v>0</v>
      </c>
      <c r="M20" s="90">
        <f t="shared" si="3"/>
        <v>0</v>
      </c>
      <c r="N20" s="90">
        <f t="shared" si="3"/>
        <v>0</v>
      </c>
      <c r="O20" s="90">
        <f t="shared" si="3"/>
        <v>0</v>
      </c>
      <c r="P20" s="342"/>
      <c r="Q20" s="20"/>
      <c r="R20" s="20"/>
      <c r="S20" s="20"/>
      <c r="T20" s="20"/>
      <c r="U20" s="20"/>
      <c r="V20" s="40"/>
      <c r="W20" s="41"/>
      <c r="X20" s="19"/>
      <c r="Y20" s="19"/>
      <c r="Z20" s="19"/>
      <c r="AA20" s="19"/>
      <c r="AB20" s="16"/>
      <c r="AC20" s="17"/>
    </row>
    <row r="21" spans="1:29">
      <c r="A21" s="97" t="s">
        <v>1260</v>
      </c>
      <c r="B21" s="326">
        <v>9000000</v>
      </c>
      <c r="C21" s="90">
        <v>9000000</v>
      </c>
      <c r="D21" s="90">
        <v>9000000</v>
      </c>
      <c r="E21" s="90">
        <v>9000000</v>
      </c>
      <c r="F21" s="90">
        <v>9000000</v>
      </c>
      <c r="G21" s="90">
        <v>9000000</v>
      </c>
      <c r="H21" s="90">
        <v>9000000</v>
      </c>
      <c r="I21" s="90">
        <v>9000000</v>
      </c>
      <c r="J21" s="435">
        <v>9000000</v>
      </c>
      <c r="K21" s="90">
        <v>9000000</v>
      </c>
      <c r="L21" s="90">
        <v>9000000</v>
      </c>
      <c r="M21" s="90">
        <v>9000000</v>
      </c>
      <c r="N21" s="90">
        <v>9000000</v>
      </c>
      <c r="O21" s="90">
        <v>9000000</v>
      </c>
      <c r="P21" s="342"/>
      <c r="Q21" s="20"/>
      <c r="R21" s="20"/>
      <c r="S21" s="20"/>
      <c r="T21" s="20"/>
      <c r="U21" s="20"/>
      <c r="V21" s="50"/>
      <c r="W21" s="44"/>
      <c r="X21" s="44"/>
      <c r="Y21" s="44"/>
      <c r="Z21" s="44"/>
      <c r="AA21" s="44"/>
      <c r="AB21" s="44"/>
      <c r="AC21" s="51"/>
    </row>
    <row r="22" spans="1:29" ht="15.6">
      <c r="A22" s="413" t="s">
        <v>53</v>
      </c>
      <c r="B22" s="64"/>
      <c r="C22" s="65"/>
      <c r="D22" s="65"/>
      <c r="E22" s="66"/>
      <c r="F22" s="65"/>
      <c r="G22" s="65"/>
      <c r="H22" s="21"/>
      <c r="I22" s="65"/>
      <c r="J22" s="437"/>
      <c r="K22" s="66"/>
      <c r="L22" s="66"/>
      <c r="M22" s="66"/>
      <c r="N22" s="66"/>
      <c r="O22" s="382"/>
      <c r="P22" s="382"/>
      <c r="Q22" s="66"/>
      <c r="R22" s="66"/>
      <c r="S22" s="66"/>
      <c r="T22" s="66"/>
      <c r="U22" s="66"/>
      <c r="V22" s="118" t="s">
        <v>57</v>
      </c>
      <c r="W22" s="119" t="s">
        <v>67</v>
      </c>
      <c r="X22" s="119" t="s">
        <v>69</v>
      </c>
      <c r="Y22" s="119" t="s">
        <v>70</v>
      </c>
      <c r="Z22" s="119" t="s">
        <v>56</v>
      </c>
      <c r="AA22" s="119" t="s">
        <v>54</v>
      </c>
      <c r="AB22" s="119" t="s">
        <v>58</v>
      </c>
      <c r="AC22" s="120" t="s">
        <v>59</v>
      </c>
    </row>
    <row r="23" spans="1:29">
      <c r="A23" s="414" t="s">
        <v>55</v>
      </c>
      <c r="B23" s="64"/>
      <c r="C23" s="65"/>
      <c r="D23" s="65"/>
      <c r="E23" s="66"/>
      <c r="F23" s="65"/>
      <c r="G23" s="65"/>
      <c r="H23" s="21"/>
      <c r="I23" s="65"/>
      <c r="J23" s="437"/>
      <c r="K23" s="66"/>
      <c r="L23" s="66"/>
      <c r="M23" s="66"/>
      <c r="N23" s="66"/>
      <c r="O23" s="382"/>
      <c r="P23" s="382"/>
      <c r="Q23" s="66"/>
      <c r="R23" s="66"/>
      <c r="S23" s="66"/>
      <c r="T23" s="66"/>
      <c r="U23" s="66"/>
      <c r="V23" s="356" t="s">
        <v>2</v>
      </c>
      <c r="W23" s="357">
        <v>91999901</v>
      </c>
      <c r="X23" s="358" t="s">
        <v>507</v>
      </c>
      <c r="Y23" s="358" t="s">
        <v>508</v>
      </c>
      <c r="Z23" s="359" t="s">
        <v>509</v>
      </c>
      <c r="AA23" s="360">
        <v>8000000</v>
      </c>
      <c r="AB23" s="358"/>
      <c r="AC23" s="361"/>
    </row>
    <row r="24" spans="1:29">
      <c r="A24" s="445" t="s">
        <v>479</v>
      </c>
      <c r="B24" s="332">
        <f t="shared" ref="B24:O24" si="4">IF(OR(B18="A",B18="B"),IF(B11&lt;&gt;"C",ROUND(B121*B84,0),0),IF(B11&lt;&gt;"C",B136*B84,0))</f>
        <v>5000000</v>
      </c>
      <c r="C24" s="332">
        <f t="shared" si="4"/>
        <v>4500000</v>
      </c>
      <c r="D24" s="332">
        <f t="shared" si="4"/>
        <v>5478261</v>
      </c>
      <c r="E24" s="332">
        <f t="shared" si="4"/>
        <v>9000000</v>
      </c>
      <c r="F24" s="332">
        <f t="shared" si="4"/>
        <v>14000000</v>
      </c>
      <c r="G24" s="332">
        <f t="shared" si="4"/>
        <v>0</v>
      </c>
      <c r="H24" s="332">
        <f t="shared" si="4"/>
        <v>109063500</v>
      </c>
      <c r="I24" s="332">
        <f t="shared" si="4"/>
        <v>37329781.862100005</v>
      </c>
      <c r="J24" s="438">
        <f t="shared" si="4"/>
        <v>6521740</v>
      </c>
      <c r="K24" s="332">
        <f t="shared" si="4"/>
        <v>8000000</v>
      </c>
      <c r="L24" s="332">
        <f t="shared" si="4"/>
        <v>90000000</v>
      </c>
      <c r="M24" s="332">
        <f t="shared" si="4"/>
        <v>5000000</v>
      </c>
      <c r="N24" s="332">
        <f t="shared" si="4"/>
        <v>6500000</v>
      </c>
      <c r="O24" s="400">
        <f t="shared" si="4"/>
        <v>0</v>
      </c>
      <c r="P24" s="355">
        <f>SUM(B24:O24)-J24</f>
        <v>293871542.86210001</v>
      </c>
      <c r="Q24" s="90" t="s">
        <v>525</v>
      </c>
      <c r="R24" s="90" t="s">
        <v>526</v>
      </c>
      <c r="S24" s="90" t="s">
        <v>526</v>
      </c>
      <c r="T24" s="90" t="s">
        <v>527</v>
      </c>
      <c r="U24" s="90" t="s">
        <v>526</v>
      </c>
      <c r="V24" s="356" t="s">
        <v>2</v>
      </c>
      <c r="W24" s="357">
        <v>91999902</v>
      </c>
      <c r="X24" s="358" t="s">
        <v>507</v>
      </c>
      <c r="Y24" s="358" t="s">
        <v>508</v>
      </c>
      <c r="Z24" s="359" t="s">
        <v>509</v>
      </c>
      <c r="AA24" s="360">
        <v>8000000</v>
      </c>
      <c r="AB24" s="358"/>
      <c r="AC24" s="361"/>
    </row>
    <row r="25" spans="1:29">
      <c r="A25" s="451" t="s">
        <v>496</v>
      </c>
      <c r="B25" s="332">
        <f t="shared" ref="B25:O25" si="5">IF(OR(B18="A",B18="B"),ROUND(B123*B84,0),ROUND(B123*B84*$B$4,0))</f>
        <v>500000</v>
      </c>
      <c r="C25" s="332">
        <f t="shared" si="5"/>
        <v>450000</v>
      </c>
      <c r="D25" s="332">
        <f t="shared" si="5"/>
        <v>547826</v>
      </c>
      <c r="E25" s="332">
        <f t="shared" si="5"/>
        <v>0</v>
      </c>
      <c r="F25" s="332">
        <f t="shared" si="5"/>
        <v>0</v>
      </c>
      <c r="G25" s="332">
        <f t="shared" si="5"/>
        <v>0</v>
      </c>
      <c r="H25" s="332">
        <f t="shared" si="5"/>
        <v>11602500</v>
      </c>
      <c r="I25" s="332">
        <f t="shared" si="5"/>
        <v>0</v>
      </c>
      <c r="J25" s="438">
        <f t="shared" si="5"/>
        <v>652174</v>
      </c>
      <c r="K25" s="332">
        <f t="shared" si="5"/>
        <v>800000</v>
      </c>
      <c r="L25" s="332">
        <f t="shared" si="5"/>
        <v>0</v>
      </c>
      <c r="M25" s="332">
        <f t="shared" si="5"/>
        <v>1000000</v>
      </c>
      <c r="N25" s="332">
        <f t="shared" si="5"/>
        <v>1000000</v>
      </c>
      <c r="O25" s="400">
        <f t="shared" si="5"/>
        <v>0</v>
      </c>
      <c r="P25" s="355">
        <f t="shared" ref="P25:P59" si="6">SUM(B25:O25)-J25</f>
        <v>15900326</v>
      </c>
      <c r="Q25" s="379" t="s">
        <v>567</v>
      </c>
      <c r="R25" s="379" t="s">
        <v>567</v>
      </c>
      <c r="S25" s="379" t="s">
        <v>567</v>
      </c>
      <c r="T25" s="379" t="s">
        <v>567</v>
      </c>
      <c r="U25" s="90" t="s">
        <v>525</v>
      </c>
      <c r="V25" s="356" t="s">
        <v>2</v>
      </c>
      <c r="W25" s="357">
        <v>91999904</v>
      </c>
      <c r="X25" s="358" t="s">
        <v>507</v>
      </c>
      <c r="Y25" s="358" t="s">
        <v>508</v>
      </c>
      <c r="Z25" s="359" t="s">
        <v>509</v>
      </c>
      <c r="AA25" s="360">
        <v>8000000</v>
      </c>
      <c r="AB25" s="358"/>
      <c r="AC25" s="361"/>
    </row>
    <row r="26" spans="1:29">
      <c r="A26" s="451" t="s">
        <v>569</v>
      </c>
      <c r="B26" s="332">
        <f t="shared" ref="B26:O26" si="7">IF(OR(B18="A",B18="B"),ROUND(B124*B84,0),ROUND(B124*$B$4*B84,0))</f>
        <v>1000000</v>
      </c>
      <c r="C26" s="332">
        <f t="shared" si="7"/>
        <v>900000</v>
      </c>
      <c r="D26" s="332">
        <f t="shared" si="7"/>
        <v>1095652</v>
      </c>
      <c r="E26" s="332">
        <f t="shared" si="7"/>
        <v>0</v>
      </c>
      <c r="F26" s="332">
        <f t="shared" si="7"/>
        <v>0</v>
      </c>
      <c r="G26" s="332">
        <f t="shared" si="7"/>
        <v>0</v>
      </c>
      <c r="H26" s="332">
        <f t="shared" si="7"/>
        <v>23205000</v>
      </c>
      <c r="I26" s="332">
        <f t="shared" si="7"/>
        <v>0</v>
      </c>
      <c r="J26" s="438">
        <f t="shared" si="7"/>
        <v>1304348</v>
      </c>
      <c r="K26" s="332">
        <f t="shared" si="7"/>
        <v>1600000</v>
      </c>
      <c r="L26" s="332">
        <f t="shared" si="7"/>
        <v>0</v>
      </c>
      <c r="M26" s="332">
        <f t="shared" si="7"/>
        <v>1500000</v>
      </c>
      <c r="N26" s="332">
        <f t="shared" si="7"/>
        <v>1500000</v>
      </c>
      <c r="O26" s="400">
        <f t="shared" si="7"/>
        <v>0</v>
      </c>
      <c r="P26" s="355">
        <f t="shared" si="6"/>
        <v>30800652</v>
      </c>
      <c r="Q26" s="379" t="s">
        <v>567</v>
      </c>
      <c r="R26" s="379" t="s">
        <v>567</v>
      </c>
      <c r="S26" s="379" t="s">
        <v>567</v>
      </c>
      <c r="T26" s="379" t="s">
        <v>567</v>
      </c>
      <c r="U26" s="90" t="s">
        <v>525</v>
      </c>
      <c r="V26" s="356" t="s">
        <v>2</v>
      </c>
      <c r="W26" s="357">
        <v>91999905</v>
      </c>
      <c r="X26" s="358" t="s">
        <v>507</v>
      </c>
      <c r="Y26" s="358" t="s">
        <v>508</v>
      </c>
      <c r="Z26" s="359" t="s">
        <v>509</v>
      </c>
      <c r="AA26" s="360">
        <v>8000000</v>
      </c>
      <c r="AB26" s="358"/>
      <c r="AC26" s="361"/>
    </row>
    <row r="27" spans="1:29">
      <c r="A27" s="445" t="s">
        <v>427</v>
      </c>
      <c r="B27" s="332"/>
      <c r="C27" s="332"/>
      <c r="D27" s="332"/>
      <c r="E27" s="332"/>
      <c r="F27" s="332"/>
      <c r="G27" s="332">
        <f>ROUND(G122*B4*AC79,0)+ROUND(G122*B4*AC80,0)</f>
        <v>23205000</v>
      </c>
      <c r="H27" s="332"/>
      <c r="I27" s="332"/>
      <c r="J27" s="438"/>
      <c r="K27" s="332"/>
      <c r="L27" s="332"/>
      <c r="M27" s="332"/>
      <c r="N27" s="332"/>
      <c r="O27" s="400">
        <f>ROUND(O122*AC81,0)+ROUND(O122*AC82,0)</f>
        <v>4000000</v>
      </c>
      <c r="P27" s="355">
        <f t="shared" si="6"/>
        <v>27205000</v>
      </c>
      <c r="Q27" s="379" t="s">
        <v>567</v>
      </c>
      <c r="R27" s="379" t="s">
        <v>567</v>
      </c>
      <c r="S27" s="379"/>
      <c r="T27" s="379"/>
      <c r="U27" s="379"/>
      <c r="V27" s="356" t="s">
        <v>2</v>
      </c>
      <c r="W27" s="357">
        <v>91999907</v>
      </c>
      <c r="X27" s="358" t="s">
        <v>507</v>
      </c>
      <c r="Y27" s="358" t="s">
        <v>508</v>
      </c>
      <c r="Z27" s="359" t="s">
        <v>509</v>
      </c>
      <c r="AA27" s="360">
        <v>8000000</v>
      </c>
      <c r="AB27" s="358"/>
      <c r="AC27" s="361"/>
    </row>
    <row r="28" spans="1:29">
      <c r="A28" s="454" t="s">
        <v>495</v>
      </c>
      <c r="B28" s="332">
        <f t="shared" ref="B28:O28" si="8">ROUND(B125*B84,0)</f>
        <v>3000000</v>
      </c>
      <c r="C28" s="332">
        <f t="shared" si="8"/>
        <v>3000000</v>
      </c>
      <c r="D28" s="332">
        <f t="shared" si="8"/>
        <v>2347826</v>
      </c>
      <c r="E28" s="332">
        <f t="shared" si="8"/>
        <v>3000000</v>
      </c>
      <c r="F28" s="332">
        <f t="shared" si="8"/>
        <v>3000000</v>
      </c>
      <c r="G28" s="332">
        <f t="shared" si="8"/>
        <v>0</v>
      </c>
      <c r="H28" s="332">
        <f t="shared" si="8"/>
        <v>0</v>
      </c>
      <c r="I28" s="332">
        <f t="shared" si="8"/>
        <v>0</v>
      </c>
      <c r="J28" s="438">
        <f t="shared" si="8"/>
        <v>0</v>
      </c>
      <c r="K28" s="332">
        <f t="shared" si="8"/>
        <v>0</v>
      </c>
      <c r="L28" s="332">
        <f t="shared" si="8"/>
        <v>0</v>
      </c>
      <c r="M28" s="332">
        <f t="shared" si="8"/>
        <v>0</v>
      </c>
      <c r="N28" s="332">
        <f t="shared" si="8"/>
        <v>0</v>
      </c>
      <c r="O28" s="400">
        <f t="shared" si="8"/>
        <v>0</v>
      </c>
      <c r="P28" s="355">
        <f t="shared" si="6"/>
        <v>14347826</v>
      </c>
      <c r="Q28" s="379" t="s">
        <v>567</v>
      </c>
      <c r="R28" s="379" t="s">
        <v>568</v>
      </c>
      <c r="S28" s="379"/>
      <c r="T28" s="379"/>
      <c r="U28" s="379"/>
      <c r="V28" s="356" t="s">
        <v>2</v>
      </c>
      <c r="W28" s="357">
        <v>91999907</v>
      </c>
      <c r="X28" s="358" t="s">
        <v>507</v>
      </c>
      <c r="Y28" s="358" t="s">
        <v>508</v>
      </c>
      <c r="Z28" s="359" t="s">
        <v>537</v>
      </c>
      <c r="AA28" s="360">
        <v>7000000</v>
      </c>
      <c r="AB28" s="358"/>
      <c r="AC28" s="361"/>
    </row>
    <row r="29" spans="1:29">
      <c r="A29" s="451" t="s">
        <v>497</v>
      </c>
      <c r="B29" s="332">
        <f>AA57</f>
        <v>1500000</v>
      </c>
      <c r="C29" s="332">
        <f>AA58</f>
        <v>1500000</v>
      </c>
      <c r="D29" s="332"/>
      <c r="E29" s="332"/>
      <c r="F29" s="332"/>
      <c r="G29" s="332"/>
      <c r="H29" s="332">
        <f>AA59*B4</f>
        <v>2320500</v>
      </c>
      <c r="I29" s="332"/>
      <c r="J29" s="438"/>
      <c r="K29" s="332"/>
      <c r="L29" s="332"/>
      <c r="M29" s="332"/>
      <c r="N29" s="332"/>
      <c r="O29" s="400"/>
      <c r="P29" s="355">
        <f t="shared" si="6"/>
        <v>5320500</v>
      </c>
      <c r="Q29" s="379" t="s">
        <v>567</v>
      </c>
      <c r="R29" s="379" t="s">
        <v>568</v>
      </c>
      <c r="S29" s="379" t="s">
        <v>568</v>
      </c>
      <c r="T29" s="379" t="s">
        <v>525</v>
      </c>
      <c r="U29" s="379"/>
      <c r="V29" s="356" t="s">
        <v>2</v>
      </c>
      <c r="W29" s="357">
        <v>91999907</v>
      </c>
      <c r="X29" s="358" t="s">
        <v>507</v>
      </c>
      <c r="Y29" s="358" t="s">
        <v>508</v>
      </c>
      <c r="Z29" s="359">
        <v>7065</v>
      </c>
      <c r="AA29" s="360">
        <v>100</v>
      </c>
      <c r="AB29" s="447" t="s">
        <v>542</v>
      </c>
      <c r="AC29" s="448"/>
    </row>
    <row r="30" spans="1:29">
      <c r="A30" s="451" t="s">
        <v>499</v>
      </c>
      <c r="B30" s="332">
        <f t="shared" ref="B30:O30" si="9">ROUND(B130*B84,0)</f>
        <v>2000000</v>
      </c>
      <c r="C30" s="332">
        <f t="shared" si="9"/>
        <v>2000000</v>
      </c>
      <c r="D30" s="332">
        <f t="shared" si="9"/>
        <v>1565217</v>
      </c>
      <c r="E30" s="332">
        <f t="shared" si="9"/>
        <v>0</v>
      </c>
      <c r="F30" s="332">
        <f t="shared" si="9"/>
        <v>0</v>
      </c>
      <c r="G30" s="332">
        <f t="shared" si="9"/>
        <v>0</v>
      </c>
      <c r="H30" s="332">
        <f t="shared" si="9"/>
        <v>0</v>
      </c>
      <c r="I30" s="332">
        <f t="shared" si="9"/>
        <v>0</v>
      </c>
      <c r="J30" s="438">
        <f t="shared" si="9"/>
        <v>0</v>
      </c>
      <c r="K30" s="332">
        <f t="shared" si="9"/>
        <v>0</v>
      </c>
      <c r="L30" s="332">
        <f t="shared" si="9"/>
        <v>0</v>
      </c>
      <c r="M30" s="332">
        <f t="shared" si="9"/>
        <v>0</v>
      </c>
      <c r="N30" s="332">
        <f t="shared" si="9"/>
        <v>0</v>
      </c>
      <c r="O30" s="400">
        <f t="shared" si="9"/>
        <v>0</v>
      </c>
      <c r="P30" s="355">
        <f t="shared" si="6"/>
        <v>5565217</v>
      </c>
      <c r="Q30" s="379" t="s">
        <v>567</v>
      </c>
      <c r="R30" s="379" t="s">
        <v>568</v>
      </c>
      <c r="S30" s="379"/>
      <c r="T30" s="379"/>
      <c r="U30" s="379"/>
      <c r="V30" s="356" t="s">
        <v>2</v>
      </c>
      <c r="W30" s="357">
        <v>91999908</v>
      </c>
      <c r="X30" s="358" t="s">
        <v>603</v>
      </c>
      <c r="Y30" s="358" t="s">
        <v>508</v>
      </c>
      <c r="Z30" s="359">
        <v>7065</v>
      </c>
      <c r="AA30" s="360">
        <v>100</v>
      </c>
      <c r="AB30" s="447" t="s">
        <v>542</v>
      </c>
      <c r="AC30" s="448"/>
    </row>
    <row r="31" spans="1:29">
      <c r="A31" s="445" t="s">
        <v>530</v>
      </c>
      <c r="B31" s="332">
        <f t="shared" ref="B31:O31" si="10">IF(OR(B18="A",B18="B"),ROUND(B127*B84,0),ROUND(B127*B84*$B$4,0))</f>
        <v>2000000</v>
      </c>
      <c r="C31" s="332">
        <f t="shared" si="10"/>
        <v>2000000</v>
      </c>
      <c r="D31" s="332">
        <f t="shared" si="10"/>
        <v>1565217</v>
      </c>
      <c r="E31" s="332">
        <f t="shared" si="10"/>
        <v>0</v>
      </c>
      <c r="F31" s="332">
        <f t="shared" si="10"/>
        <v>0</v>
      </c>
      <c r="G31" s="332">
        <f t="shared" si="10"/>
        <v>0</v>
      </c>
      <c r="H31" s="332">
        <f t="shared" si="10"/>
        <v>8121750</v>
      </c>
      <c r="I31" s="332">
        <f t="shared" si="10"/>
        <v>3379859</v>
      </c>
      <c r="J31" s="438">
        <f t="shared" si="10"/>
        <v>0</v>
      </c>
      <c r="K31" s="332">
        <f t="shared" si="10"/>
        <v>0</v>
      </c>
      <c r="L31" s="332">
        <f t="shared" si="10"/>
        <v>0</v>
      </c>
      <c r="M31" s="332">
        <f t="shared" si="10"/>
        <v>0</v>
      </c>
      <c r="N31" s="332">
        <f t="shared" si="10"/>
        <v>0</v>
      </c>
      <c r="O31" s="400">
        <f t="shared" si="10"/>
        <v>0</v>
      </c>
      <c r="P31" s="355">
        <f t="shared" si="6"/>
        <v>17066826</v>
      </c>
      <c r="Q31" s="90" t="s">
        <v>525</v>
      </c>
      <c r="R31" s="90" t="s">
        <v>525</v>
      </c>
      <c r="S31" s="90" t="s">
        <v>525</v>
      </c>
      <c r="T31" s="90" t="s">
        <v>525</v>
      </c>
      <c r="U31" s="90" t="s">
        <v>525</v>
      </c>
      <c r="V31" s="356" t="s">
        <v>2</v>
      </c>
      <c r="W31" s="357">
        <v>91999907</v>
      </c>
      <c r="X31" s="358" t="s">
        <v>507</v>
      </c>
      <c r="Y31" s="358" t="s">
        <v>508</v>
      </c>
      <c r="Z31" s="359">
        <v>7070</v>
      </c>
      <c r="AA31" s="360">
        <v>200</v>
      </c>
      <c r="AB31" s="447" t="s">
        <v>542</v>
      </c>
      <c r="AC31" s="448"/>
    </row>
    <row r="32" spans="1:29">
      <c r="A32" s="445"/>
      <c r="B32" s="332"/>
      <c r="C32" s="332"/>
      <c r="D32" s="332"/>
      <c r="E32" s="332"/>
      <c r="F32" s="332"/>
      <c r="G32" s="332"/>
      <c r="H32" s="332"/>
      <c r="I32" s="332"/>
      <c r="J32" s="438"/>
      <c r="K32" s="332"/>
      <c r="L32" s="332"/>
      <c r="M32" s="332"/>
      <c r="N32" s="332"/>
      <c r="O32" s="400"/>
      <c r="P32" s="355"/>
      <c r="Q32" s="90"/>
      <c r="R32" s="90"/>
      <c r="S32" s="90"/>
      <c r="T32" s="90"/>
      <c r="U32" s="90"/>
      <c r="V32" s="356" t="s">
        <v>2</v>
      </c>
      <c r="W32" s="357">
        <v>91999908</v>
      </c>
      <c r="X32" s="358" t="s">
        <v>603</v>
      </c>
      <c r="Y32" s="358" t="s">
        <v>508</v>
      </c>
      <c r="Z32" s="359">
        <v>7070</v>
      </c>
      <c r="AA32" s="360">
        <v>200</v>
      </c>
      <c r="AB32" s="447" t="s">
        <v>542</v>
      </c>
      <c r="AC32" s="448"/>
    </row>
    <row r="33" spans="1:29">
      <c r="A33" s="528" t="s">
        <v>582</v>
      </c>
      <c r="B33" s="332"/>
      <c r="C33" s="332"/>
      <c r="D33" s="332"/>
      <c r="E33" s="332"/>
      <c r="F33" s="332"/>
      <c r="G33" s="332"/>
      <c r="H33" s="332"/>
      <c r="I33" s="332"/>
      <c r="J33" s="438"/>
      <c r="K33" s="332"/>
      <c r="L33" s="332"/>
      <c r="M33" s="332"/>
      <c r="N33" s="332"/>
      <c r="O33" s="400"/>
      <c r="P33" s="355"/>
      <c r="Q33" s="380"/>
      <c r="R33" s="380"/>
      <c r="S33" s="380"/>
      <c r="T33" s="380"/>
      <c r="U33" s="380"/>
      <c r="V33" s="356" t="s">
        <v>2</v>
      </c>
      <c r="W33" s="357">
        <v>91999901</v>
      </c>
      <c r="X33" s="358" t="s">
        <v>507</v>
      </c>
      <c r="Y33" s="358" t="s">
        <v>508</v>
      </c>
      <c r="Z33" s="359">
        <v>9140</v>
      </c>
      <c r="AA33" s="360"/>
      <c r="AB33" s="750">
        <v>7.5999999999999998E-2</v>
      </c>
      <c r="AC33" s="448"/>
    </row>
    <row r="34" spans="1:29">
      <c r="A34" s="454" t="s">
        <v>598</v>
      </c>
      <c r="B34" s="332">
        <f t="shared" ref="B34:O34" si="11">ROUND(B128*B84,0)</f>
        <v>1800000</v>
      </c>
      <c r="C34" s="332">
        <f t="shared" si="11"/>
        <v>1800000</v>
      </c>
      <c r="D34" s="332">
        <f t="shared" si="11"/>
        <v>1408696</v>
      </c>
      <c r="E34" s="332">
        <f t="shared" si="11"/>
        <v>1800000</v>
      </c>
      <c r="F34" s="332">
        <f t="shared" si="11"/>
        <v>1800000</v>
      </c>
      <c r="G34" s="332">
        <f t="shared" si="11"/>
        <v>0</v>
      </c>
      <c r="H34" s="332">
        <f t="shared" si="11"/>
        <v>0</v>
      </c>
      <c r="I34" s="332">
        <f t="shared" si="11"/>
        <v>0</v>
      </c>
      <c r="J34" s="438">
        <f t="shared" si="11"/>
        <v>0</v>
      </c>
      <c r="K34" s="332">
        <f t="shared" si="11"/>
        <v>0</v>
      </c>
      <c r="L34" s="332">
        <f t="shared" si="11"/>
        <v>0</v>
      </c>
      <c r="M34" s="332">
        <f t="shared" si="11"/>
        <v>0</v>
      </c>
      <c r="N34" s="332">
        <f t="shared" si="11"/>
        <v>0</v>
      </c>
      <c r="O34" s="400">
        <f t="shared" si="11"/>
        <v>0</v>
      </c>
      <c r="P34" s="355">
        <f t="shared" si="6"/>
        <v>8608696</v>
      </c>
      <c r="Q34" s="379" t="s">
        <v>567</v>
      </c>
      <c r="R34" s="379"/>
      <c r="S34" s="379"/>
      <c r="T34" s="379"/>
      <c r="U34" s="379" t="s">
        <v>567</v>
      </c>
      <c r="V34" s="356" t="s">
        <v>2</v>
      </c>
      <c r="W34" s="357">
        <v>91999907</v>
      </c>
      <c r="X34" s="358" t="s">
        <v>507</v>
      </c>
      <c r="Y34" s="358" t="s">
        <v>508</v>
      </c>
      <c r="Z34" s="359">
        <v>9140</v>
      </c>
      <c r="AA34" s="360"/>
      <c r="AB34" s="750">
        <v>0.56000000000000005</v>
      </c>
      <c r="AC34" s="448"/>
    </row>
    <row r="35" spans="1:29">
      <c r="A35" s="451" t="s">
        <v>493</v>
      </c>
      <c r="B35" s="332">
        <f t="shared" ref="B35:O35" si="12">ROUND(B129*B84,0)</f>
        <v>0</v>
      </c>
      <c r="C35" s="332">
        <f t="shared" si="12"/>
        <v>730000</v>
      </c>
      <c r="D35" s="332">
        <f t="shared" si="12"/>
        <v>571304</v>
      </c>
      <c r="E35" s="332">
        <f t="shared" si="12"/>
        <v>0</v>
      </c>
      <c r="F35" s="332">
        <f t="shared" si="12"/>
        <v>0</v>
      </c>
      <c r="G35" s="332">
        <f t="shared" si="12"/>
        <v>0</v>
      </c>
      <c r="H35" s="332">
        <f t="shared" si="12"/>
        <v>0</v>
      </c>
      <c r="I35" s="332">
        <f t="shared" si="12"/>
        <v>0</v>
      </c>
      <c r="J35" s="438">
        <f t="shared" si="12"/>
        <v>0</v>
      </c>
      <c r="K35" s="332">
        <f t="shared" si="12"/>
        <v>730000</v>
      </c>
      <c r="L35" s="332">
        <f t="shared" si="12"/>
        <v>0</v>
      </c>
      <c r="M35" s="332">
        <f t="shared" si="12"/>
        <v>0</v>
      </c>
      <c r="N35" s="332">
        <f t="shared" si="12"/>
        <v>0</v>
      </c>
      <c r="O35" s="400">
        <f t="shared" si="12"/>
        <v>0</v>
      </c>
      <c r="P35" s="355">
        <f t="shared" si="6"/>
        <v>2031304</v>
      </c>
      <c r="Q35" s="379" t="s">
        <v>567</v>
      </c>
      <c r="R35" s="379"/>
      <c r="S35" s="379"/>
      <c r="T35" s="379"/>
      <c r="U35" s="379" t="s">
        <v>567</v>
      </c>
      <c r="V35" s="356" t="s">
        <v>2</v>
      </c>
      <c r="W35" s="357">
        <v>91999902</v>
      </c>
      <c r="X35" s="447" t="s">
        <v>892</v>
      </c>
      <c r="Y35" s="358" t="s">
        <v>508</v>
      </c>
      <c r="Z35" s="359">
        <v>9150</v>
      </c>
      <c r="AA35" s="360"/>
      <c r="AB35" s="447">
        <v>1</v>
      </c>
      <c r="AC35" s="448"/>
    </row>
    <row r="36" spans="1:29">
      <c r="A36" s="451" t="s">
        <v>890</v>
      </c>
      <c r="B36" s="332"/>
      <c r="C36" s="332"/>
      <c r="D36" s="332"/>
      <c r="E36" s="332"/>
      <c r="F36" s="332"/>
      <c r="G36" s="332"/>
      <c r="H36" s="332"/>
      <c r="I36" s="332">
        <f>ROUND(AA69*B4,0)</f>
        <v>3480750</v>
      </c>
      <c r="J36" s="438"/>
      <c r="K36" s="592">
        <f>AA70</f>
        <v>4000000</v>
      </c>
      <c r="L36" s="332"/>
      <c r="M36" s="332"/>
      <c r="N36" s="332"/>
      <c r="O36" s="400"/>
      <c r="P36" s="355">
        <f t="shared" si="6"/>
        <v>7480750</v>
      </c>
      <c r="Q36" s="379" t="s">
        <v>525</v>
      </c>
      <c r="R36" s="379"/>
      <c r="S36" s="379"/>
      <c r="T36" s="379"/>
      <c r="U36" s="379"/>
      <c r="V36" s="356" t="s">
        <v>2</v>
      </c>
      <c r="W36" s="357">
        <v>91999907</v>
      </c>
      <c r="X36" s="447" t="s">
        <v>892</v>
      </c>
      <c r="Y36" s="358" t="s">
        <v>508</v>
      </c>
      <c r="Z36" s="359">
        <v>9150</v>
      </c>
      <c r="AA36" s="360"/>
      <c r="AB36" s="447">
        <v>1</v>
      </c>
      <c r="AC36" s="448"/>
    </row>
    <row r="37" spans="1:29">
      <c r="A37" s="445"/>
      <c r="B37" s="332"/>
      <c r="C37" s="332"/>
      <c r="D37" s="332"/>
      <c r="E37" s="340"/>
      <c r="F37" s="332"/>
      <c r="G37" s="332"/>
      <c r="H37" s="332"/>
      <c r="I37" s="332"/>
      <c r="J37" s="439"/>
      <c r="K37" s="340"/>
      <c r="L37" s="340"/>
      <c r="M37" s="340"/>
      <c r="N37" s="340"/>
      <c r="O37" s="401"/>
      <c r="P37" s="355"/>
      <c r="Q37" s="380"/>
      <c r="R37" s="380"/>
      <c r="S37" s="380"/>
      <c r="T37" s="380"/>
      <c r="U37" s="380"/>
      <c r="V37" s="356" t="s">
        <v>2</v>
      </c>
      <c r="W37" s="357">
        <v>91999913</v>
      </c>
      <c r="X37" s="447" t="s">
        <v>892</v>
      </c>
      <c r="Y37" s="358" t="s">
        <v>508</v>
      </c>
      <c r="Z37" s="359">
        <v>9150</v>
      </c>
      <c r="AA37" s="360"/>
      <c r="AB37" s="447">
        <v>1</v>
      </c>
      <c r="AC37" s="448"/>
    </row>
    <row r="38" spans="1:29">
      <c r="A38" s="528" t="s">
        <v>572</v>
      </c>
      <c r="B38" s="332"/>
      <c r="C38" s="332"/>
      <c r="D38" s="332"/>
      <c r="E38" s="340"/>
      <c r="F38" s="332"/>
      <c r="G38" s="332"/>
      <c r="H38" s="332"/>
      <c r="I38" s="332"/>
      <c r="J38" s="439"/>
      <c r="K38" s="340"/>
      <c r="L38" s="340"/>
      <c r="M38" s="340"/>
      <c r="N38" s="340"/>
      <c r="O38" s="401"/>
      <c r="P38" s="355"/>
      <c r="Q38" s="380"/>
      <c r="R38" s="380"/>
      <c r="S38" s="380"/>
      <c r="T38" s="380"/>
      <c r="U38" s="380"/>
      <c r="V38" s="356" t="s">
        <v>773</v>
      </c>
      <c r="W38" s="357">
        <v>91999905</v>
      </c>
      <c r="X38" s="358" t="s">
        <v>774</v>
      </c>
      <c r="Y38" s="358" t="s">
        <v>508</v>
      </c>
      <c r="Z38" s="359" t="s">
        <v>775</v>
      </c>
      <c r="AA38" s="360"/>
      <c r="AB38" s="447">
        <v>1</v>
      </c>
      <c r="AC38" s="448"/>
    </row>
    <row r="39" spans="1:29">
      <c r="A39" s="451" t="s">
        <v>498</v>
      </c>
      <c r="B39" s="332"/>
      <c r="C39" s="332"/>
      <c r="D39" s="332"/>
      <c r="E39" s="340"/>
      <c r="F39" s="332"/>
      <c r="G39" s="332"/>
      <c r="H39" s="332">
        <f>ROUND(AA63*$B$4,0)</f>
        <v>11602500</v>
      </c>
      <c r="I39" s="332">
        <f>ROUND(AA64*$B$4,0)</f>
        <v>13923000</v>
      </c>
      <c r="J39" s="439"/>
      <c r="K39" s="340"/>
      <c r="L39" s="340"/>
      <c r="M39" s="340"/>
      <c r="N39" s="340"/>
      <c r="O39" s="401"/>
      <c r="P39" s="355">
        <f t="shared" si="6"/>
        <v>25525500</v>
      </c>
      <c r="Q39" s="379"/>
      <c r="R39" s="379" t="s">
        <v>568</v>
      </c>
      <c r="S39" s="379"/>
      <c r="T39" s="379"/>
      <c r="U39" s="379"/>
      <c r="V39" s="49" t="s">
        <v>2</v>
      </c>
      <c r="W39" s="39">
        <v>91999901</v>
      </c>
      <c r="X39" s="80" t="s">
        <v>506</v>
      </c>
      <c r="Y39" s="80" t="s">
        <v>531</v>
      </c>
      <c r="Z39" s="60">
        <v>3501</v>
      </c>
      <c r="AA39" s="332">
        <v>1800000</v>
      </c>
      <c r="AB39" s="80"/>
      <c r="AC39" s="11"/>
    </row>
    <row r="40" spans="1:29">
      <c r="A40" s="445" t="s">
        <v>534</v>
      </c>
      <c r="B40" s="332">
        <f>IF(OR(B18="A",B18="B"),ROUND(ROUND(2369796*B19*B16*IF(B17&lt;3,0,IF(B17&lt;6,50%,100%)),0)*B13%/365,0),ROUND(ROUND(2466.55*$B$4,0)*B16*B13%/365,0))</f>
        <v>201270</v>
      </c>
      <c r="C40" s="332">
        <f>IF(OR(C18="A",C18="B"),ROUND(ROUND(2369796*C19*C16*IF(C17&lt;3,0,IF(C17&lt;6,50%,100%)),0)*C13%/365,0),ROUND(ROUND(2466.55*$B$4,0)*C16*C13%/365,0))</f>
        <v>201270</v>
      </c>
      <c r="D40" s="332"/>
      <c r="E40" s="332">
        <f>IF(OR(E18="A",E18="B"),ROUND(ROUND(2369796*E19*E16*IF(E17&lt;3,0,IF(E17&lt;6,50%,100%)),0)*E13%/365,0),ROUND(ROUND(2466.55*$B$4,0)*E16*E13%/365,0))</f>
        <v>301906</v>
      </c>
      <c r="F40" s="332">
        <f>IF(OR(F18="A",F18="B"),ROUND(ROUND(2369796*F19*F16*IF(F17&lt;3,0,IF(F17&lt;6,50%,100%)),0)*F13%/365,0),ROUND(ROUND(2466.55*$B$4,0)*F16*F13%/365,0))</f>
        <v>0</v>
      </c>
      <c r="G40" s="332"/>
      <c r="H40" s="360">
        <f>(ROUND(2466.55*$B$4/365*H16,0)+ROUND(863.29*$B$4/365*H16,0))*H13%</f>
        <v>3281284</v>
      </c>
      <c r="I40" s="332">
        <f t="shared" ref="I40:O40" si="13">IF(OR(I18="A",I18="B"),ROUND(2369796/365*I16,0),ROUND(ROUND(2466.55*$B$4,0)/365/I16,0))*I19</f>
        <v>0</v>
      </c>
      <c r="J40" s="438">
        <f t="shared" si="13"/>
        <v>0</v>
      </c>
      <c r="K40" s="332">
        <f t="shared" si="13"/>
        <v>0</v>
      </c>
      <c r="L40" s="332">
        <f t="shared" si="13"/>
        <v>0</v>
      </c>
      <c r="M40" s="332">
        <f t="shared" si="13"/>
        <v>0</v>
      </c>
      <c r="N40" s="332">
        <f t="shared" si="13"/>
        <v>0</v>
      </c>
      <c r="O40" s="400">
        <f t="shared" si="13"/>
        <v>0</v>
      </c>
      <c r="P40" s="355">
        <f t="shared" si="6"/>
        <v>3985730</v>
      </c>
      <c r="Q40" s="380"/>
      <c r="R40" s="379" t="s">
        <v>567</v>
      </c>
      <c r="S40" s="380"/>
      <c r="T40" s="380"/>
      <c r="U40" s="380"/>
      <c r="V40" s="49" t="s">
        <v>2</v>
      </c>
      <c r="W40" s="39">
        <v>91999902</v>
      </c>
      <c r="X40" s="80" t="s">
        <v>506</v>
      </c>
      <c r="Y40" s="80" t="s">
        <v>531</v>
      </c>
      <c r="Z40" s="60">
        <v>3501</v>
      </c>
      <c r="AA40" s="332">
        <v>1800000</v>
      </c>
      <c r="AB40" s="80"/>
      <c r="AC40" s="11"/>
    </row>
    <row r="41" spans="1:29">
      <c r="A41" s="412"/>
      <c r="B41" s="331"/>
      <c r="C41" s="332"/>
      <c r="D41" s="332"/>
      <c r="E41" s="340"/>
      <c r="F41" s="368"/>
      <c r="G41" s="368"/>
      <c r="H41" s="368"/>
      <c r="I41" s="368"/>
      <c r="J41" s="439"/>
      <c r="K41" s="340"/>
      <c r="L41" s="340"/>
      <c r="M41" s="340"/>
      <c r="N41" s="340"/>
      <c r="O41" s="401"/>
      <c r="P41" s="355"/>
      <c r="Q41" s="379"/>
      <c r="R41" s="379"/>
      <c r="S41" s="379"/>
      <c r="T41" s="379"/>
      <c r="U41" s="379"/>
      <c r="V41" s="49" t="s">
        <v>2</v>
      </c>
      <c r="W41" s="39">
        <v>91999903</v>
      </c>
      <c r="X41" s="80" t="s">
        <v>510</v>
      </c>
      <c r="Y41" s="80" t="s">
        <v>531</v>
      </c>
      <c r="Z41" s="60">
        <v>3501</v>
      </c>
      <c r="AA41" s="332">
        <v>1800000</v>
      </c>
      <c r="AB41" s="80"/>
      <c r="AC41" s="11"/>
    </row>
    <row r="42" spans="1:29">
      <c r="A42" s="450" t="s">
        <v>61</v>
      </c>
      <c r="B42" s="365">
        <f t="shared" ref="B42:O42" si="14">SUM(B24:B36)</f>
        <v>16800000</v>
      </c>
      <c r="C42" s="495">
        <f t="shared" si="14"/>
        <v>16880000</v>
      </c>
      <c r="D42" s="495">
        <f t="shared" si="14"/>
        <v>14579999</v>
      </c>
      <c r="E42" s="495">
        <f t="shared" si="14"/>
        <v>13800000</v>
      </c>
      <c r="F42" s="495">
        <f t="shared" si="14"/>
        <v>18800000</v>
      </c>
      <c r="G42" s="495">
        <f t="shared" si="14"/>
        <v>23205000</v>
      </c>
      <c r="H42" s="495">
        <f t="shared" si="14"/>
        <v>154313250</v>
      </c>
      <c r="I42" s="495">
        <f t="shared" si="14"/>
        <v>44190390.862100005</v>
      </c>
      <c r="J42" s="677">
        <f t="shared" si="14"/>
        <v>8478262</v>
      </c>
      <c r="K42" s="495">
        <f t="shared" si="14"/>
        <v>15130000</v>
      </c>
      <c r="L42" s="495">
        <f t="shared" si="14"/>
        <v>90000000</v>
      </c>
      <c r="M42" s="495">
        <f t="shared" si="14"/>
        <v>7500000</v>
      </c>
      <c r="N42" s="495">
        <f t="shared" si="14"/>
        <v>9000000</v>
      </c>
      <c r="O42" s="638">
        <f t="shared" si="14"/>
        <v>4000000</v>
      </c>
      <c r="P42" s="355">
        <f t="shared" si="6"/>
        <v>428198639.86210001</v>
      </c>
      <c r="Q42" s="379"/>
      <c r="R42" s="379"/>
      <c r="S42" s="379"/>
      <c r="T42" s="379"/>
      <c r="U42" s="379"/>
      <c r="V42" s="49" t="s">
        <v>2</v>
      </c>
      <c r="W42" s="39">
        <v>91999904</v>
      </c>
      <c r="X42" s="80" t="s">
        <v>506</v>
      </c>
      <c r="Y42" s="80" t="s">
        <v>531</v>
      </c>
      <c r="Z42" s="60">
        <v>3501</v>
      </c>
      <c r="AA42" s="332">
        <v>1800000</v>
      </c>
      <c r="AB42" s="80"/>
      <c r="AC42" s="11"/>
    </row>
    <row r="43" spans="1:29">
      <c r="A43" s="418"/>
      <c r="B43" s="331"/>
      <c r="C43" s="332"/>
      <c r="D43" s="332"/>
      <c r="E43" s="340"/>
      <c r="F43" s="332"/>
      <c r="G43" s="332"/>
      <c r="H43" s="332"/>
      <c r="I43" s="332"/>
      <c r="J43" s="439"/>
      <c r="K43" s="340"/>
      <c r="L43" s="340"/>
      <c r="M43" s="340"/>
      <c r="N43" s="340"/>
      <c r="O43" s="401"/>
      <c r="P43" s="355"/>
      <c r="Q43" s="379"/>
      <c r="R43" s="379"/>
      <c r="S43" s="379"/>
      <c r="T43" s="379"/>
      <c r="U43" s="379"/>
      <c r="V43" s="49" t="s">
        <v>2</v>
      </c>
      <c r="W43" s="39">
        <v>91999905</v>
      </c>
      <c r="X43" s="80" t="s">
        <v>506</v>
      </c>
      <c r="Y43" s="80" t="s">
        <v>531</v>
      </c>
      <c r="Z43" s="60">
        <v>3501</v>
      </c>
      <c r="AA43" s="332">
        <v>1800000</v>
      </c>
      <c r="AB43" s="80"/>
      <c r="AC43" s="11"/>
    </row>
    <row r="44" spans="1:29" ht="15.6">
      <c r="A44" s="419" t="s">
        <v>60</v>
      </c>
      <c r="B44" s="362"/>
      <c r="C44" s="362"/>
      <c r="D44" s="362"/>
      <c r="E44" s="370"/>
      <c r="F44" s="362"/>
      <c r="G44" s="362"/>
      <c r="H44" s="362"/>
      <c r="I44" s="362"/>
      <c r="J44" s="441"/>
      <c r="K44" s="370"/>
      <c r="L44" s="370"/>
      <c r="M44" s="370"/>
      <c r="N44" s="370"/>
      <c r="O44" s="383"/>
      <c r="P44" s="355"/>
      <c r="Q44" s="379"/>
      <c r="R44" s="379"/>
      <c r="S44" s="379"/>
      <c r="T44" s="379"/>
      <c r="U44" s="379"/>
      <c r="V44" s="49" t="s">
        <v>2</v>
      </c>
      <c r="W44" s="39">
        <v>91999901</v>
      </c>
      <c r="X44" s="80" t="s">
        <v>506</v>
      </c>
      <c r="Y44" s="80" t="s">
        <v>531</v>
      </c>
      <c r="Z44" s="60">
        <v>3081</v>
      </c>
      <c r="AA44" s="332">
        <v>3000000</v>
      </c>
      <c r="AB44" s="80"/>
      <c r="AC44" s="11"/>
    </row>
    <row r="45" spans="1:29">
      <c r="A45" s="414" t="s">
        <v>55</v>
      </c>
      <c r="B45" s="362"/>
      <c r="C45" s="362"/>
      <c r="D45" s="362"/>
      <c r="E45" s="370"/>
      <c r="F45" s="362"/>
      <c r="G45" s="362"/>
      <c r="H45" s="362"/>
      <c r="I45" s="362"/>
      <c r="J45" s="441"/>
      <c r="K45" s="370"/>
      <c r="L45" s="370"/>
      <c r="M45" s="370"/>
      <c r="N45" s="370"/>
      <c r="O45" s="383"/>
      <c r="P45" s="355"/>
      <c r="Q45" s="379"/>
      <c r="R45" s="379"/>
      <c r="S45" s="379"/>
      <c r="T45" s="379"/>
      <c r="U45" s="379"/>
      <c r="V45" s="49" t="s">
        <v>2</v>
      </c>
      <c r="W45" s="39">
        <v>91999902</v>
      </c>
      <c r="X45" s="80" t="s">
        <v>506</v>
      </c>
      <c r="Y45" s="80" t="s">
        <v>531</v>
      </c>
      <c r="Z45" s="60">
        <v>3081</v>
      </c>
      <c r="AA45" s="332">
        <v>3000000</v>
      </c>
      <c r="AB45" s="80"/>
      <c r="AC45" s="11"/>
    </row>
    <row r="46" spans="1:29">
      <c r="A46" s="99" t="s">
        <v>576</v>
      </c>
      <c r="B46" s="332">
        <f>IF(B14&gt;B15/2,ROUND(B94*'New Hire'!C56,0),0)</f>
        <v>800000</v>
      </c>
      <c r="C46" s="332">
        <f>IF(C14&gt;C15/2,ROUND(C94*'New Hire'!D56,0),0)</f>
        <v>748000</v>
      </c>
      <c r="D46" s="332">
        <f>IF(D14&gt;D15/2,ROUND(D94*'New Hire'!E56,0),0)</f>
        <v>0</v>
      </c>
      <c r="E46" s="332">
        <f>IF(E14&gt;E15/2,ROUND(E94*'New Hire'!F56,0),0)</f>
        <v>720000</v>
      </c>
      <c r="F46" s="332">
        <f>IF(F14&gt;F15/2,ROUND(F94*'New Hire'!G56,0),0)</f>
        <v>0</v>
      </c>
      <c r="G46" s="332">
        <f>IF(G14&gt;G15/2,ROUND(G94*'New Hire'!H56,0),0)</f>
        <v>0</v>
      </c>
      <c r="H46" s="332">
        <f>IF(H14&gt;H15/2,ROUND(H94*'New Hire'!I56,0),0)</f>
        <v>0</v>
      </c>
      <c r="I46" s="332">
        <f>IF(I14&gt;I15/2,ROUND(I94*'New Hire'!J56,0),0)</f>
        <v>0</v>
      </c>
      <c r="J46" s="438">
        <f>IF(J14&gt;J15/2,ROUND(J94*'New Hire'!K56,0),0)</f>
        <v>0</v>
      </c>
      <c r="K46" s="332">
        <f>IF(K14&gt;K15/2,ROUND(K94*'New Hire'!L56,0),0)</f>
        <v>0</v>
      </c>
      <c r="L46" s="592">
        <f>IF(L14&gt;L15/2,ROUND(L94*'New Hire'!M56,0),0)</f>
        <v>2224000</v>
      </c>
      <c r="M46" s="332">
        <f>IF(M14&gt;M15/2,ROUND(M94*'New Hire'!N56,0),0)</f>
        <v>0</v>
      </c>
      <c r="N46" s="332">
        <f>IF(N14&gt;N15/2,ROUND(N94*'New Hire'!O56,0),0)</f>
        <v>0</v>
      </c>
      <c r="O46" s="400">
        <f>IF(O14&gt;O15/2,ROUND(O94*'New Hire'!P56,0),0)</f>
        <v>0</v>
      </c>
      <c r="P46" s="355">
        <f t="shared" si="6"/>
        <v>4492000</v>
      </c>
      <c r="Q46" s="379"/>
      <c r="R46" s="379"/>
      <c r="S46" s="379"/>
      <c r="T46" s="379"/>
      <c r="U46" s="379"/>
      <c r="V46" s="49" t="s">
        <v>2</v>
      </c>
      <c r="W46" s="39">
        <v>91999903</v>
      </c>
      <c r="X46" s="80" t="s">
        <v>510</v>
      </c>
      <c r="Y46" s="80" t="s">
        <v>531</v>
      </c>
      <c r="Z46" s="60">
        <v>3081</v>
      </c>
      <c r="AA46" s="332">
        <v>3000000</v>
      </c>
      <c r="AB46" s="80"/>
      <c r="AC46" s="11"/>
    </row>
    <row r="47" spans="1:29">
      <c r="A47" s="412" t="s">
        <v>577</v>
      </c>
      <c r="B47" s="332">
        <f>IF(B14&gt;B15/2,ROUND(MIN(B95,83600000)*'New Hire'!C59,0),0)</f>
        <v>100000</v>
      </c>
      <c r="C47" s="332">
        <f>IF(C14&gt;C15/2,ROUND(MIN(C95,83600000)*'New Hire'!D59,0),0)</f>
        <v>93500</v>
      </c>
      <c r="D47" s="332">
        <f>IF(D14&gt;D15/2,ROUND(MIN(D95,83600000)*'New Hire'!E59,0),0)</f>
        <v>111000</v>
      </c>
      <c r="E47" s="332">
        <f>IF(E14&gt;E15/2,ROUND(MIN(E95,83600000)*'New Hire'!F59,0),0)</f>
        <v>90000</v>
      </c>
      <c r="F47" s="332">
        <f>IF(F14&gt;F15/2,ROUND(MIN(F95,83600000)*'New Hire'!G59,0),0)</f>
        <v>0</v>
      </c>
      <c r="G47" s="332">
        <f>IF(G14&gt;G15/2,ROUND(MIN(G95,83600000)*'New Hire'!H59,0),0)</f>
        <v>0</v>
      </c>
      <c r="H47" s="332">
        <f>IF(H14&gt;H15/2,ROUND(MIN(H95,83600000)*'New Hire'!I59,0),0)</f>
        <v>0</v>
      </c>
      <c r="I47" s="332">
        <f>IF(I14&gt;I15/2,ROUND(MIN(I95,83600000)*'New Hire'!J59,0),0)</f>
        <v>0</v>
      </c>
      <c r="J47" s="438">
        <f>IF(J14&gt;J15/2,ROUND(MIN(J95,83600000)*'New Hire'!K59,0),0)</f>
        <v>0</v>
      </c>
      <c r="K47" s="332">
        <f>IF(K14&gt;K15/2,ROUND(MIN(K95,83600000)*'New Hire'!L59,0),0)</f>
        <v>0</v>
      </c>
      <c r="L47" s="592">
        <f>IF(L14&gt;L15/2,ROUND(MIN(L95,83600000)*'New Hire'!M59,0),0)</f>
        <v>836000</v>
      </c>
      <c r="M47" s="332">
        <f>IF(M14&gt;M15/2,ROUND(MIN(M95,83600000)*'New Hire'!N59,0),0)</f>
        <v>0</v>
      </c>
      <c r="N47" s="332">
        <f>IF(N14&gt;N15/2,ROUND(MIN(N95,83600000)*'New Hire'!O59,0),0)</f>
        <v>0</v>
      </c>
      <c r="O47" s="400">
        <f>IF(O14&gt;O15/2,ROUND(MIN(O95,83600000)*'New Hire'!P59,0),0)</f>
        <v>0</v>
      </c>
      <c r="P47" s="355">
        <f t="shared" si="6"/>
        <v>1230500</v>
      </c>
      <c r="Q47" s="379"/>
      <c r="R47" s="379"/>
      <c r="S47" s="379"/>
      <c r="T47" s="379"/>
      <c r="U47" s="379"/>
      <c r="V47" s="49" t="s">
        <v>2</v>
      </c>
      <c r="W47" s="39">
        <v>91999904</v>
      </c>
      <c r="X47" s="80" t="s">
        <v>506</v>
      </c>
      <c r="Y47" s="80" t="s">
        <v>531</v>
      </c>
      <c r="Z47" s="60">
        <v>3081</v>
      </c>
      <c r="AA47" s="332">
        <v>3000000</v>
      </c>
      <c r="AB47" s="80"/>
      <c r="AC47" s="11"/>
    </row>
    <row r="48" spans="1:29">
      <c r="A48" s="412" t="s">
        <v>578</v>
      </c>
      <c r="B48" s="332">
        <f>IF(B14&gt;B15/2,ROUND(B94*'New Hire'!C62,0),0)</f>
        <v>150000</v>
      </c>
      <c r="C48" s="332">
        <f>IF(C14&gt;C15/2,ROUND(C94*'New Hire'!D62,0),0)</f>
        <v>140250</v>
      </c>
      <c r="D48" s="332">
        <f>IF(D14&gt;D15/2,ROUND(D94*'New Hire'!E62,0),0)</f>
        <v>166500</v>
      </c>
      <c r="E48" s="332">
        <f>IF(E14&gt;E15/2,ROUND(E94*'New Hire'!F62,0),0)</f>
        <v>135000</v>
      </c>
      <c r="F48" s="332">
        <f>IF(F14&gt;F15/2,ROUND(F94*'New Hire'!G62,0),0)</f>
        <v>0</v>
      </c>
      <c r="G48" s="332">
        <f>IF(G14&gt;G15/2,ROUND(G94*'New Hire'!H62,0),0)</f>
        <v>0</v>
      </c>
      <c r="H48" s="332">
        <f>IF(H14&gt;H15/2,ROUND(H94*'New Hire'!I62,0),0)</f>
        <v>417000</v>
      </c>
      <c r="I48" s="332">
        <f>IF(I14&gt;I15/2,ROUND(I94*'New Hire'!J62,0),0)</f>
        <v>0</v>
      </c>
      <c r="J48" s="438">
        <f>IF(J14&gt;J15/2,ROUND(J94*'New Hire'!K62,0),0)</f>
        <v>0</v>
      </c>
      <c r="K48" s="332">
        <f>IF(K14&gt;K15/2,ROUND(K94*'New Hire'!L62,0),0)</f>
        <v>0</v>
      </c>
      <c r="L48" s="592">
        <f>IF(L14&gt;L15/2,ROUND(L94*'New Hire'!M62,0),0)</f>
        <v>417000</v>
      </c>
      <c r="M48" s="332">
        <f>IF(M14&gt;M15/2,ROUND(M94*'New Hire'!N62,0),0)</f>
        <v>0</v>
      </c>
      <c r="N48" s="332">
        <f>IF(N14&gt;N15/2,ROUND(N94*'New Hire'!O62,0),0)</f>
        <v>0</v>
      </c>
      <c r="O48" s="400">
        <f>IF(O14&gt;O15/2,ROUND(O94*'New Hire'!P62,0),0)</f>
        <v>0</v>
      </c>
      <c r="P48" s="355">
        <f t="shared" si="6"/>
        <v>1425750</v>
      </c>
      <c r="Q48" s="379"/>
      <c r="R48" s="379"/>
      <c r="S48" s="379"/>
      <c r="T48" s="379"/>
      <c r="U48" s="379"/>
      <c r="V48" s="49" t="s">
        <v>2</v>
      </c>
      <c r="W48" s="39">
        <v>91999905</v>
      </c>
      <c r="X48" s="80" t="s">
        <v>506</v>
      </c>
      <c r="Y48" s="80" t="s">
        <v>531</v>
      </c>
      <c r="Z48" s="60">
        <v>3081</v>
      </c>
      <c r="AA48" s="332">
        <v>3000000</v>
      </c>
      <c r="AB48" s="80"/>
      <c r="AC48" s="11"/>
    </row>
    <row r="49" spans="1:29">
      <c r="A49" s="412" t="s">
        <v>900</v>
      </c>
      <c r="B49" s="332">
        <f>B102</f>
        <v>77564</v>
      </c>
      <c r="C49" s="332">
        <f t="shared" ref="C49:O49" si="15">C102</f>
        <v>0</v>
      </c>
      <c r="D49" s="332">
        <f t="shared" si="15"/>
        <v>0</v>
      </c>
      <c r="E49" s="332">
        <f t="shared" si="15"/>
        <v>1230191</v>
      </c>
      <c r="F49" s="332">
        <f t="shared" si="15"/>
        <v>1700000</v>
      </c>
      <c r="G49" s="332">
        <f t="shared" si="15"/>
        <v>1380750</v>
      </c>
      <c r="H49" s="332">
        <f t="shared" si="15"/>
        <v>33839407</v>
      </c>
      <c r="I49" s="332">
        <f t="shared" si="15"/>
        <v>10926528</v>
      </c>
      <c r="J49" s="438">
        <f t="shared" si="15"/>
        <v>0</v>
      </c>
      <c r="K49" s="332">
        <f t="shared" si="15"/>
        <v>70000</v>
      </c>
      <c r="L49" s="332">
        <f t="shared" si="15"/>
        <v>17406900</v>
      </c>
      <c r="M49" s="332">
        <f t="shared" si="15"/>
        <v>0</v>
      </c>
      <c r="N49" s="332">
        <f t="shared" si="15"/>
        <v>0</v>
      </c>
      <c r="O49" s="400">
        <f t="shared" si="15"/>
        <v>400000</v>
      </c>
      <c r="P49" s="355">
        <f t="shared" si="6"/>
        <v>67031340</v>
      </c>
      <c r="Q49" s="379"/>
      <c r="R49" s="379"/>
      <c r="S49" s="379"/>
      <c r="T49" s="379"/>
      <c r="U49" s="379"/>
      <c r="V49" s="49" t="s">
        <v>2</v>
      </c>
      <c r="W49" s="39">
        <v>91999901</v>
      </c>
      <c r="X49" s="80" t="s">
        <v>506</v>
      </c>
      <c r="Y49" s="80" t="s">
        <v>531</v>
      </c>
      <c r="Z49" s="60" t="s">
        <v>532</v>
      </c>
      <c r="AA49" s="332">
        <v>2000000</v>
      </c>
      <c r="AB49" s="80"/>
      <c r="AC49" s="11"/>
    </row>
    <row r="50" spans="1:29">
      <c r="A50" s="445" t="s">
        <v>514</v>
      </c>
      <c r="B50" s="332">
        <f t="shared" ref="B50:O50" si="16">B87-B66</f>
        <v>0</v>
      </c>
      <c r="C50" s="332">
        <f t="shared" si="16"/>
        <v>0</v>
      </c>
      <c r="D50" s="332">
        <f t="shared" si="16"/>
        <v>0</v>
      </c>
      <c r="E50" s="332">
        <f t="shared" si="16"/>
        <v>0</v>
      </c>
      <c r="F50" s="332">
        <f t="shared" si="16"/>
        <v>0</v>
      </c>
      <c r="G50" s="332">
        <f t="shared" si="16"/>
        <v>0</v>
      </c>
      <c r="H50" s="332">
        <f t="shared" si="16"/>
        <v>339726</v>
      </c>
      <c r="I50" s="332">
        <f t="shared" si="16"/>
        <v>0</v>
      </c>
      <c r="J50" s="438">
        <f t="shared" si="16"/>
        <v>0</v>
      </c>
      <c r="K50" s="332">
        <f t="shared" si="16"/>
        <v>0</v>
      </c>
      <c r="L50" s="332">
        <f t="shared" si="16"/>
        <v>0</v>
      </c>
      <c r="M50" s="332">
        <f t="shared" si="16"/>
        <v>0</v>
      </c>
      <c r="N50" s="332">
        <f t="shared" si="16"/>
        <v>0</v>
      </c>
      <c r="O50" s="400">
        <f t="shared" si="16"/>
        <v>0</v>
      </c>
      <c r="P50" s="355">
        <f>SUM(B50:O50)-J50</f>
        <v>339726</v>
      </c>
      <c r="Q50" s="379"/>
      <c r="R50" s="379"/>
      <c r="S50" s="379"/>
      <c r="T50" s="379"/>
      <c r="U50" s="380"/>
      <c r="V50" s="49" t="s">
        <v>2</v>
      </c>
      <c r="W50" s="39">
        <v>91999902</v>
      </c>
      <c r="X50" s="80" t="s">
        <v>506</v>
      </c>
      <c r="Y50" s="80" t="s">
        <v>531</v>
      </c>
      <c r="Z50" s="60" t="s">
        <v>532</v>
      </c>
      <c r="AA50" s="332">
        <v>2000000</v>
      </c>
      <c r="AB50" s="80"/>
      <c r="AC50" s="11"/>
    </row>
    <row r="51" spans="1:29">
      <c r="A51" s="445" t="s">
        <v>535</v>
      </c>
      <c r="B51" s="332">
        <f>IF(OR(B18="A",B18="B"),ROUND(2369796*B19*B16/365,0),ROUND(2466.55*$B$4*B19*B16/12,0))-B40</f>
        <v>0</v>
      </c>
      <c r="C51" s="332">
        <f t="shared" ref="C51:O51" si="17">IF(OR(C18="A",C18="B"),ROUND(2369796*C19*C16/365,0),ROUND(2466.55*$B$4*C19*C16/12,0))-C40</f>
        <v>201271</v>
      </c>
      <c r="D51" s="332">
        <v>0</v>
      </c>
      <c r="E51" s="332">
        <f t="shared" si="17"/>
        <v>301905</v>
      </c>
      <c r="F51" s="332">
        <f t="shared" si="17"/>
        <v>0</v>
      </c>
      <c r="G51" s="332">
        <f t="shared" si="17"/>
        <v>0</v>
      </c>
      <c r="H51" s="332">
        <f>ROUND((ROUND(2466.55*$B$4/365*H16,0)+ROUND(863.29*$B$4/365*H16,0)),0)-H40</f>
        <v>3281284</v>
      </c>
      <c r="I51" s="332">
        <f t="shared" si="17"/>
        <v>0</v>
      </c>
      <c r="J51" s="438">
        <f t="shared" si="17"/>
        <v>0</v>
      </c>
      <c r="K51" s="332">
        <f t="shared" si="17"/>
        <v>0</v>
      </c>
      <c r="L51" s="332">
        <f t="shared" si="17"/>
        <v>0</v>
      </c>
      <c r="M51" s="332">
        <f t="shared" si="17"/>
        <v>0</v>
      </c>
      <c r="N51" s="332">
        <f t="shared" si="17"/>
        <v>0</v>
      </c>
      <c r="O51" s="400">
        <f t="shared" si="17"/>
        <v>0</v>
      </c>
      <c r="P51" s="355">
        <f>SUM(B51:O51)-J51</f>
        <v>3784460</v>
      </c>
      <c r="Q51" s="379"/>
      <c r="R51" s="379"/>
      <c r="S51" s="379"/>
      <c r="T51" s="379"/>
      <c r="U51" s="380"/>
      <c r="V51" s="49" t="s">
        <v>2</v>
      </c>
      <c r="W51" s="39">
        <v>91999903</v>
      </c>
      <c r="X51" s="80" t="s">
        <v>510</v>
      </c>
      <c r="Y51" s="80" t="s">
        <v>531</v>
      </c>
      <c r="Z51" s="60" t="s">
        <v>532</v>
      </c>
      <c r="AA51" s="332">
        <v>2000000</v>
      </c>
      <c r="AB51" s="80"/>
      <c r="AC51" s="11"/>
    </row>
    <row r="52" spans="1:29">
      <c r="A52" s="445" t="s">
        <v>538</v>
      </c>
      <c r="B52" s="332">
        <f>B88</f>
        <v>0</v>
      </c>
      <c r="C52" s="332">
        <f t="shared" ref="C52:O52" si="18">C88</f>
        <v>0</v>
      </c>
      <c r="D52" s="332">
        <f t="shared" si="18"/>
        <v>0</v>
      </c>
      <c r="E52" s="332">
        <f t="shared" si="18"/>
        <v>0</v>
      </c>
      <c r="F52" s="332">
        <f t="shared" si="18"/>
        <v>0</v>
      </c>
      <c r="G52" s="332">
        <f t="shared" si="18"/>
        <v>0</v>
      </c>
      <c r="H52" s="332">
        <f t="shared" si="18"/>
        <v>594521</v>
      </c>
      <c r="I52" s="332">
        <f t="shared" si="18"/>
        <v>0</v>
      </c>
      <c r="J52" s="438">
        <f t="shared" si="18"/>
        <v>0</v>
      </c>
      <c r="K52" s="332">
        <f t="shared" si="18"/>
        <v>0</v>
      </c>
      <c r="L52" s="332">
        <f t="shared" si="18"/>
        <v>0</v>
      </c>
      <c r="M52" s="332">
        <f t="shared" si="18"/>
        <v>0</v>
      </c>
      <c r="N52" s="332">
        <f t="shared" si="18"/>
        <v>0</v>
      </c>
      <c r="O52" s="400">
        <f t="shared" si="18"/>
        <v>0</v>
      </c>
      <c r="P52" s="355">
        <f>SUM(B52:O52)-J52</f>
        <v>594521</v>
      </c>
      <c r="Q52" s="379"/>
      <c r="R52" s="379"/>
      <c r="S52" s="341"/>
      <c r="T52" s="341"/>
      <c r="U52" s="341"/>
      <c r="V52" s="49" t="s">
        <v>2</v>
      </c>
      <c r="W52" s="39">
        <v>91999907</v>
      </c>
      <c r="X52" s="80" t="s">
        <v>507</v>
      </c>
      <c r="Y52" s="80" t="s">
        <v>531</v>
      </c>
      <c r="Z52" s="60" t="s">
        <v>532</v>
      </c>
      <c r="AA52" s="332">
        <v>350</v>
      </c>
      <c r="AB52" s="80" t="s">
        <v>605</v>
      </c>
      <c r="AC52" s="11"/>
    </row>
    <row r="53" spans="1:29">
      <c r="A53" s="445" t="s">
        <v>539</v>
      </c>
      <c r="B53" s="332">
        <f t="shared" ref="B53:G53" si="19">IF(OR(B18="A",B18="B"),0,ROUND(ROUND(297.1*$B$4,0)/365*B16,0))*B19</f>
        <v>0</v>
      </c>
      <c r="C53" s="332">
        <f t="shared" si="19"/>
        <v>0</v>
      </c>
      <c r="D53" s="332">
        <f t="shared" si="19"/>
        <v>0</v>
      </c>
      <c r="E53" s="332">
        <f t="shared" si="19"/>
        <v>0</v>
      </c>
      <c r="F53" s="332">
        <f t="shared" si="19"/>
        <v>0</v>
      </c>
      <c r="G53" s="332">
        <f t="shared" si="19"/>
        <v>0</v>
      </c>
      <c r="H53" s="360">
        <f>ROUND((ROUND(ROUND(297.1*$B$4,0)/365*H16,0)+ROUND(ROUND(103.98*$B$4,0)/365*H16,0))*H13%,0)</f>
        <v>395231</v>
      </c>
      <c r="I53" s="332">
        <f t="shared" ref="I53:O53" si="20">IF(OR(I18="A",I18="B"),0,ROUND(ROUND(297.1*$B$4,0)/365*I16*I19,0))*I19</f>
        <v>0</v>
      </c>
      <c r="J53" s="438">
        <f t="shared" si="20"/>
        <v>0</v>
      </c>
      <c r="K53" s="332">
        <f t="shared" si="20"/>
        <v>0</v>
      </c>
      <c r="L53" s="332">
        <f t="shared" si="20"/>
        <v>0</v>
      </c>
      <c r="M53" s="332">
        <f t="shared" si="20"/>
        <v>0</v>
      </c>
      <c r="N53" s="332">
        <f t="shared" si="20"/>
        <v>0</v>
      </c>
      <c r="O53" s="400">
        <f t="shared" si="20"/>
        <v>0</v>
      </c>
      <c r="P53" s="355">
        <f>SUM(B53:O53)-J53</f>
        <v>395231</v>
      </c>
      <c r="Q53" s="347"/>
      <c r="R53" s="347"/>
      <c r="S53" s="347"/>
      <c r="T53" s="347"/>
      <c r="U53" s="347"/>
      <c r="V53" s="49" t="s">
        <v>2</v>
      </c>
      <c r="W53" s="39">
        <v>91999908</v>
      </c>
      <c r="X53" s="80" t="s">
        <v>603</v>
      </c>
      <c r="Y53" s="80" t="s">
        <v>531</v>
      </c>
      <c r="Z53" s="60" t="s">
        <v>532</v>
      </c>
      <c r="AA53" s="332">
        <v>335</v>
      </c>
      <c r="AB53" s="80" t="s">
        <v>606</v>
      </c>
      <c r="AC53" s="11"/>
    </row>
    <row r="54" spans="1:29">
      <c r="A54" s="412" t="s">
        <v>584</v>
      </c>
      <c r="B54" s="80"/>
      <c r="C54" s="80"/>
      <c r="D54" s="332"/>
      <c r="E54" s="332">
        <f>AA67</f>
        <v>1000000</v>
      </c>
      <c r="F54" s="332"/>
      <c r="G54" s="332"/>
      <c r="H54" s="332"/>
      <c r="I54" s="332">
        <f>AA65*$B$4</f>
        <v>1160250</v>
      </c>
      <c r="J54" s="439"/>
      <c r="K54" s="340"/>
      <c r="L54" s="340"/>
      <c r="M54" s="340"/>
      <c r="N54" s="340"/>
      <c r="O54" s="401"/>
      <c r="P54" s="355">
        <f t="shared" si="6"/>
        <v>2160250</v>
      </c>
      <c r="Q54" s="379"/>
      <c r="R54" s="379"/>
      <c r="S54" s="379"/>
      <c r="T54" s="379"/>
      <c r="U54" s="379"/>
      <c r="V54" s="49" t="s">
        <v>2</v>
      </c>
      <c r="W54" s="39">
        <v>91999902</v>
      </c>
      <c r="X54" s="80" t="s">
        <v>506</v>
      </c>
      <c r="Y54" s="80" t="s">
        <v>531</v>
      </c>
      <c r="Z54" s="60">
        <v>3525</v>
      </c>
      <c r="AA54" s="332">
        <v>730000</v>
      </c>
      <c r="AB54" s="80"/>
      <c r="AC54" s="11"/>
    </row>
    <row r="55" spans="1:29">
      <c r="A55" s="412" t="s">
        <v>585</v>
      </c>
      <c r="B55" s="402"/>
      <c r="C55" s="80"/>
      <c r="D55" s="332"/>
      <c r="E55" s="332">
        <f>AA68</f>
        <v>1500000</v>
      </c>
      <c r="F55" s="332"/>
      <c r="G55" s="332"/>
      <c r="H55" s="332"/>
      <c r="I55" s="332">
        <f>AA66*$B$4</f>
        <v>1392300</v>
      </c>
      <c r="J55" s="439"/>
      <c r="K55" s="340"/>
      <c r="L55" s="340"/>
      <c r="M55" s="340"/>
      <c r="N55" s="340"/>
      <c r="O55" s="401"/>
      <c r="P55" s="355">
        <f t="shared" si="6"/>
        <v>2892300</v>
      </c>
      <c r="Q55" s="379"/>
      <c r="R55" s="379"/>
      <c r="S55" s="379"/>
      <c r="T55" s="379"/>
      <c r="U55" s="379"/>
      <c r="V55" s="49" t="s">
        <v>2</v>
      </c>
      <c r="W55" s="39">
        <v>91999903</v>
      </c>
      <c r="X55" s="80" t="s">
        <v>510</v>
      </c>
      <c r="Y55" s="80" t="s">
        <v>531</v>
      </c>
      <c r="Z55" s="60">
        <v>3525</v>
      </c>
      <c r="AA55" s="332">
        <v>730000</v>
      </c>
      <c r="AB55" s="80"/>
      <c r="AC55" s="11"/>
    </row>
    <row r="56" spans="1:29">
      <c r="A56" s="412"/>
      <c r="B56" s="371"/>
      <c r="C56" s="372"/>
      <c r="D56" s="372"/>
      <c r="E56" s="373"/>
      <c r="F56" s="372"/>
      <c r="G56" s="372"/>
      <c r="H56" s="372"/>
      <c r="I56" s="372"/>
      <c r="J56" s="442"/>
      <c r="K56" s="373"/>
      <c r="L56" s="373"/>
      <c r="M56" s="373"/>
      <c r="N56" s="373"/>
      <c r="O56" s="403"/>
      <c r="P56" s="355"/>
      <c r="Q56" s="379"/>
      <c r="R56" s="379"/>
      <c r="S56" s="379"/>
      <c r="T56" s="379"/>
      <c r="U56" s="379"/>
      <c r="V56" s="49" t="s">
        <v>2</v>
      </c>
      <c r="W56" s="39">
        <v>91999910</v>
      </c>
      <c r="X56" s="80" t="s">
        <v>540</v>
      </c>
      <c r="Y56" s="80" t="s">
        <v>531</v>
      </c>
      <c r="Z56" s="60">
        <v>3525</v>
      </c>
      <c r="AA56" s="332">
        <v>730000</v>
      </c>
      <c r="AB56" s="80"/>
      <c r="AC56" s="11"/>
    </row>
    <row r="57" spans="1:29">
      <c r="A57" s="420" t="s">
        <v>4</v>
      </c>
      <c r="B57" s="365">
        <f t="shared" ref="B57:O57" si="21">SUM(B46:B56)</f>
        <v>1127564</v>
      </c>
      <c r="C57" s="366">
        <f t="shared" si="21"/>
        <v>1183021</v>
      </c>
      <c r="D57" s="366">
        <f t="shared" si="21"/>
        <v>277500</v>
      </c>
      <c r="E57" s="366">
        <f t="shared" si="21"/>
        <v>4977096</v>
      </c>
      <c r="F57" s="366">
        <f t="shared" si="21"/>
        <v>1700000</v>
      </c>
      <c r="G57" s="366">
        <f t="shared" si="21"/>
        <v>1380750</v>
      </c>
      <c r="H57" s="366">
        <f t="shared" si="21"/>
        <v>38867169</v>
      </c>
      <c r="I57" s="366">
        <f t="shared" si="21"/>
        <v>13479078</v>
      </c>
      <c r="J57" s="440">
        <f t="shared" si="21"/>
        <v>0</v>
      </c>
      <c r="K57" s="366">
        <f t="shared" si="21"/>
        <v>70000</v>
      </c>
      <c r="L57" s="366">
        <f t="shared" si="21"/>
        <v>20883900</v>
      </c>
      <c r="M57" s="366">
        <f t="shared" si="21"/>
        <v>0</v>
      </c>
      <c r="N57" s="366">
        <f t="shared" si="21"/>
        <v>0</v>
      </c>
      <c r="O57" s="540">
        <f t="shared" si="21"/>
        <v>400000</v>
      </c>
      <c r="P57" s="355">
        <f t="shared" si="6"/>
        <v>84346078</v>
      </c>
      <c r="Q57" s="379"/>
      <c r="R57" s="379"/>
      <c r="S57" s="379"/>
      <c r="T57" s="379"/>
      <c r="U57" s="379"/>
      <c r="V57" s="49" t="s">
        <v>2</v>
      </c>
      <c r="W57" s="39">
        <v>91999901</v>
      </c>
      <c r="X57" s="80" t="s">
        <v>506</v>
      </c>
      <c r="Y57" s="80" t="s">
        <v>531</v>
      </c>
      <c r="Z57" s="60">
        <v>3100</v>
      </c>
      <c r="AA57" s="332">
        <v>1500000</v>
      </c>
      <c r="AB57" s="80"/>
      <c r="AC57" s="11"/>
    </row>
    <row r="58" spans="1:29">
      <c r="A58" s="421"/>
      <c r="B58" s="331"/>
      <c r="C58" s="332"/>
      <c r="D58" s="332"/>
      <c r="E58" s="340"/>
      <c r="F58" s="332"/>
      <c r="G58" s="332"/>
      <c r="H58" s="332"/>
      <c r="I58" s="332"/>
      <c r="J58" s="439"/>
      <c r="K58" s="340"/>
      <c r="L58" s="340"/>
      <c r="M58" s="340"/>
      <c r="N58" s="340"/>
      <c r="O58" s="401"/>
      <c r="P58" s="355"/>
      <c r="Q58" s="379"/>
      <c r="R58" s="379"/>
      <c r="S58" s="379"/>
      <c r="T58" s="379"/>
      <c r="U58" s="379"/>
      <c r="V58" s="49" t="s">
        <v>2</v>
      </c>
      <c r="W58" s="39">
        <v>91999902</v>
      </c>
      <c r="X58" s="80" t="s">
        <v>506</v>
      </c>
      <c r="Y58" s="80" t="s">
        <v>531</v>
      </c>
      <c r="Z58" s="60">
        <v>3100</v>
      </c>
      <c r="AA58" s="332">
        <v>1500000</v>
      </c>
      <c r="AB58" s="80"/>
      <c r="AC58" s="11"/>
    </row>
    <row r="59" spans="1:29" ht="14.4" thickBot="1">
      <c r="A59" s="417" t="s">
        <v>5</v>
      </c>
      <c r="B59" s="333">
        <f t="shared" ref="B59:O59" si="22">B42-B57</f>
        <v>15672436</v>
      </c>
      <c r="C59" s="334">
        <f t="shared" si="22"/>
        <v>15696979</v>
      </c>
      <c r="D59" s="334">
        <f t="shared" si="22"/>
        <v>14302499</v>
      </c>
      <c r="E59" s="334">
        <f t="shared" si="22"/>
        <v>8822904</v>
      </c>
      <c r="F59" s="334">
        <f t="shared" si="22"/>
        <v>17100000</v>
      </c>
      <c r="G59" s="334">
        <f t="shared" si="22"/>
        <v>21824250</v>
      </c>
      <c r="H59" s="334">
        <f t="shared" si="22"/>
        <v>115446081</v>
      </c>
      <c r="I59" s="334">
        <f t="shared" si="22"/>
        <v>30711312.862100005</v>
      </c>
      <c r="J59" s="443">
        <f t="shared" si="22"/>
        <v>8478262</v>
      </c>
      <c r="K59" s="334">
        <f t="shared" si="22"/>
        <v>15060000</v>
      </c>
      <c r="L59" s="334">
        <f t="shared" si="22"/>
        <v>69116100</v>
      </c>
      <c r="M59" s="334">
        <f t="shared" si="22"/>
        <v>7500000</v>
      </c>
      <c r="N59" s="334">
        <f t="shared" si="22"/>
        <v>9000000</v>
      </c>
      <c r="O59" s="404">
        <f t="shared" si="22"/>
        <v>3600000</v>
      </c>
      <c r="P59" s="355">
        <f t="shared" si="6"/>
        <v>343852561.86210001</v>
      </c>
      <c r="Q59" s="379"/>
      <c r="R59" s="379"/>
      <c r="S59" s="379"/>
      <c r="T59" s="379"/>
      <c r="U59" s="379"/>
      <c r="V59" s="49" t="s">
        <v>2</v>
      </c>
      <c r="W59" s="39">
        <v>91999907</v>
      </c>
      <c r="X59" s="80" t="s">
        <v>1264</v>
      </c>
      <c r="Y59" s="80" t="s">
        <v>531</v>
      </c>
      <c r="Z59" s="60">
        <v>3100</v>
      </c>
      <c r="AA59" s="332">
        <v>100</v>
      </c>
      <c r="AB59" s="7" t="s">
        <v>604</v>
      </c>
      <c r="AC59" s="12"/>
    </row>
    <row r="60" spans="1:29" ht="14.4" thickTop="1">
      <c r="A60" s="422"/>
      <c r="B60" s="331"/>
      <c r="C60" s="332"/>
      <c r="D60" s="332"/>
      <c r="E60" s="340"/>
      <c r="F60" s="332"/>
      <c r="G60" s="332"/>
      <c r="H60" s="332"/>
      <c r="I60" s="332"/>
      <c r="J60" s="439"/>
      <c r="K60" s="340"/>
      <c r="L60" s="340"/>
      <c r="M60" s="340"/>
      <c r="N60" s="340"/>
      <c r="O60" s="401"/>
      <c r="P60" s="355"/>
      <c r="Q60" s="379"/>
      <c r="R60" s="379"/>
      <c r="S60" s="379"/>
      <c r="T60" s="379"/>
      <c r="U60" s="379"/>
      <c r="V60" s="49" t="s">
        <v>2</v>
      </c>
      <c r="W60" s="39">
        <v>91999901</v>
      </c>
      <c r="X60" s="80" t="s">
        <v>506</v>
      </c>
      <c r="Y60" s="80" t="s">
        <v>531</v>
      </c>
      <c r="Z60" s="60">
        <v>3210</v>
      </c>
      <c r="AA60" s="332">
        <v>2000000</v>
      </c>
      <c r="AB60" s="7"/>
      <c r="AC60" s="12"/>
    </row>
    <row r="61" spans="1:29" ht="15.6">
      <c r="A61" s="411" t="s">
        <v>62</v>
      </c>
      <c r="B61" s="374"/>
      <c r="C61" s="405"/>
      <c r="D61" s="405"/>
      <c r="E61" s="370"/>
      <c r="F61" s="405"/>
      <c r="G61" s="405"/>
      <c r="H61" s="406"/>
      <c r="I61" s="405"/>
      <c r="J61" s="441"/>
      <c r="K61" s="370"/>
      <c r="L61" s="370"/>
      <c r="M61" s="370"/>
      <c r="N61" s="370"/>
      <c r="O61" s="383"/>
      <c r="P61" s="383"/>
      <c r="Q61" s="379"/>
      <c r="R61" s="379"/>
      <c r="S61" s="379"/>
      <c r="T61" s="379"/>
      <c r="U61" s="379"/>
      <c r="V61" s="49" t="s">
        <v>2</v>
      </c>
      <c r="W61" s="39">
        <v>91999902</v>
      </c>
      <c r="X61" s="80" t="s">
        <v>506</v>
      </c>
      <c r="Y61" s="80" t="s">
        <v>531</v>
      </c>
      <c r="Z61" s="60">
        <v>3210</v>
      </c>
      <c r="AA61" s="332">
        <v>2000000</v>
      </c>
      <c r="AB61" s="7"/>
      <c r="AC61" s="12"/>
    </row>
    <row r="62" spans="1:29">
      <c r="A62" s="424" t="s">
        <v>573</v>
      </c>
      <c r="B62" s="332">
        <f>IF(B14&gt;B15/2,ROUND(B94*'New Hire'!C57,0),0)</f>
        <v>1700000</v>
      </c>
      <c r="C62" s="332">
        <f>IF(C14&gt;C15/2,ROUND(C94*'New Hire'!D57,0),0)</f>
        <v>1636250</v>
      </c>
      <c r="D62" s="332">
        <f>IF(D14&gt;D15/2,ROUND(D94*'New Hire'!E57,0),0)</f>
        <v>55500</v>
      </c>
      <c r="E62" s="332">
        <f>IF(E14&gt;E15/2,ROUND(E94*'New Hire'!F57,0),0)</f>
        <v>1530000</v>
      </c>
      <c r="F62" s="332">
        <f>IF(F14&gt;F15/2,ROUND(F94*'New Hire'!G57,0),0)</f>
        <v>0</v>
      </c>
      <c r="G62" s="332">
        <f>IF(G14&gt;G15/2,ROUND(G94*'New Hire'!H57,0),0)</f>
        <v>0</v>
      </c>
      <c r="H62" s="332">
        <f>IF(H14&gt;H15/2,ROUND(H94*'New Hire'!I57,0),0)</f>
        <v>834000</v>
      </c>
      <c r="I62" s="332">
        <f>IF(I14&gt;I15/2,ROUND(I94*'New Hire'!J57,0),0)</f>
        <v>0</v>
      </c>
      <c r="J62" s="438">
        <f>IF(J14&gt;J15/2,ROUND(J94*'New Hire'!K57,0),0)</f>
        <v>0</v>
      </c>
      <c r="K62" s="332">
        <f>IF(K14&gt;K15/2,ROUND(K94*'New Hire'!L57,0),0)</f>
        <v>0</v>
      </c>
      <c r="L62" s="332">
        <f>IF(L14&gt;L15/2,ROUND(L94*'New Hire'!M57,0),0)</f>
        <v>4726000</v>
      </c>
      <c r="M62" s="332">
        <f>IF(M14&gt;M15/2,ROUND(M94*'New Hire'!N57,0),0)</f>
        <v>0</v>
      </c>
      <c r="N62" s="332">
        <f>IF(N14&gt;N15/2,ROUND(N94*'New Hire'!O57,0),0)</f>
        <v>0</v>
      </c>
      <c r="O62" s="400">
        <f>IF(O14&gt;O15/2,ROUND(O94*'New Hire'!P57,0),0)</f>
        <v>0</v>
      </c>
      <c r="P62" s="346">
        <f>SUM(B62:O62)-J62</f>
        <v>10481750</v>
      </c>
      <c r="Q62" s="379"/>
      <c r="R62" s="379"/>
      <c r="S62" s="379"/>
      <c r="T62" s="379"/>
      <c r="U62" s="379"/>
      <c r="V62" s="49" t="s">
        <v>2</v>
      </c>
      <c r="W62" s="39">
        <v>91999903</v>
      </c>
      <c r="X62" s="80" t="s">
        <v>510</v>
      </c>
      <c r="Y62" s="80" t="s">
        <v>531</v>
      </c>
      <c r="Z62" s="60">
        <v>3210</v>
      </c>
      <c r="AA62" s="332">
        <v>2000000</v>
      </c>
      <c r="AB62" s="7"/>
      <c r="AC62" s="12"/>
    </row>
    <row r="63" spans="1:29">
      <c r="A63" s="445" t="s">
        <v>574</v>
      </c>
      <c r="B63" s="332">
        <f>IF(B14&gt;B15/2,ROUND(MIN(B95,83600000)*'New Hire'!C60,0),0)</f>
        <v>100000</v>
      </c>
      <c r="C63" s="332">
        <f>IF(C14&gt;C15/2,ROUND(MIN(C95,83600000)*'New Hire'!D60,0),0)</f>
        <v>93500</v>
      </c>
      <c r="D63" s="332">
        <f>IF(D14&gt;D15/2,ROUND(MIN(D95,83600000)*'New Hire'!E60,0),0)</f>
        <v>111000</v>
      </c>
      <c r="E63" s="332">
        <f>IF(E14&gt;E15/2,ROUND(MIN(E95,83600000)*'New Hire'!F60,0),0)</f>
        <v>90000</v>
      </c>
      <c r="F63" s="332">
        <f>IF(F14&gt;F15/2,ROUND(MIN(F95,83600000)*'New Hire'!G60,0),0)</f>
        <v>0</v>
      </c>
      <c r="G63" s="332">
        <f>IF(G14&gt;G15/2,ROUND(MIN(G95,83600000)*'New Hire'!H60,0),0)</f>
        <v>0</v>
      </c>
      <c r="H63" s="332">
        <f>IF(H14&gt;H15/2,ROUND(MIN(H95,83600000)*'New Hire'!I60,0),0)</f>
        <v>0</v>
      </c>
      <c r="I63" s="332">
        <f>IF(I14&gt;I15/2,ROUND(MIN(I95,83600000)*'New Hire'!J60,0),0)</f>
        <v>0</v>
      </c>
      <c r="J63" s="438">
        <f>IF(J14&gt;J15/2,ROUND(MIN(J95,83600000)*'New Hire'!K60,0),0)</f>
        <v>0</v>
      </c>
      <c r="K63" s="332">
        <f>IF(K14&gt;K15/2,ROUND(MIN(K95,83600000)*'New Hire'!L60,0),0)</f>
        <v>0</v>
      </c>
      <c r="L63" s="332">
        <f>IF(L14&gt;L15/2,ROUND(MIN(L95,83600000)*'New Hire'!M60,0),0)</f>
        <v>836000</v>
      </c>
      <c r="M63" s="332">
        <f>IF(M14&gt;M15/2,ROUND(MIN(M95,83600000)*'New Hire'!N60,0),0)</f>
        <v>0</v>
      </c>
      <c r="N63" s="332">
        <f>IF(N14&gt;N15/2,ROUND(MIN(N95,83600000)*'New Hire'!O60,0),0)</f>
        <v>0</v>
      </c>
      <c r="O63" s="332">
        <f>IF(O14&gt;O15/2,ROUND(MIN(O95,83600000)*'New Hire'!P60,0),0)</f>
        <v>0</v>
      </c>
      <c r="P63" s="345">
        <f t="shared" ref="P63:P112" si="23">SUM(B63:O63)-J63</f>
        <v>1230500</v>
      </c>
      <c r="Q63" s="379"/>
      <c r="R63" s="379"/>
      <c r="S63" s="379"/>
      <c r="T63" s="379"/>
      <c r="U63" s="379"/>
      <c r="V63" s="49" t="s">
        <v>2</v>
      </c>
      <c r="W63" s="39">
        <v>91999907</v>
      </c>
      <c r="X63" s="80" t="s">
        <v>1264</v>
      </c>
      <c r="Y63" s="80" t="s">
        <v>531</v>
      </c>
      <c r="Z63" s="60">
        <v>3240</v>
      </c>
      <c r="AA63" s="332">
        <v>500</v>
      </c>
      <c r="AB63" s="7" t="s">
        <v>542</v>
      </c>
      <c r="AC63" s="12"/>
    </row>
    <row r="64" spans="1:29">
      <c r="A64" s="445" t="s">
        <v>575</v>
      </c>
      <c r="B64" s="332">
        <f>IF(B14&gt;B15/2,ROUND(B94*'New Hire'!C63,0),0)</f>
        <v>300000</v>
      </c>
      <c r="C64" s="332">
        <f>IF(C14&gt;C15/2,ROUND(C94*'New Hire'!D63,0),0)</f>
        <v>280500</v>
      </c>
      <c r="D64" s="332">
        <f>IF(D14&gt;D15/2,ROUND(D94*'New Hire'!E63,0),0)</f>
        <v>333000</v>
      </c>
      <c r="E64" s="332">
        <f>IF(E14&gt;E15/2,ROUND(E94*'New Hire'!F63,0),0)</f>
        <v>270000</v>
      </c>
      <c r="F64" s="332">
        <f>IF(F14&gt;F15/2,ROUND(F94*'New Hire'!G63,0),0)</f>
        <v>0</v>
      </c>
      <c r="G64" s="332">
        <f>IF(G14&gt;G15/2,ROUND(G94*'New Hire'!H63,0),0)</f>
        <v>0</v>
      </c>
      <c r="H64" s="332">
        <f>IF(H14&gt;H15/2,ROUND(H94*'New Hire'!I63,0),0)</f>
        <v>834000</v>
      </c>
      <c r="I64" s="332">
        <f>IF(I14&gt;I15/2,ROUND(I94*'New Hire'!J63,0),0)</f>
        <v>0</v>
      </c>
      <c r="J64" s="438">
        <f>IF(J14&gt;J15/2,ROUND(J94*'New Hire'!K63,0),0)</f>
        <v>0</v>
      </c>
      <c r="K64" s="332">
        <f>IF(K14&gt;K15/2,ROUND(K94*'New Hire'!L63,0),0)</f>
        <v>0</v>
      </c>
      <c r="L64" s="332">
        <f>IF(L14&gt;L15/2,ROUND(L94*'New Hire'!M63,0),0)</f>
        <v>834000</v>
      </c>
      <c r="M64" s="332">
        <f>IF(M14&gt;M15/2,ROUND(M94*'New Hire'!N63,0),0)</f>
        <v>0</v>
      </c>
      <c r="N64" s="332">
        <f>IF(N14&gt;N15/2,ROUND(N94*'New Hire'!O63,0),0)</f>
        <v>0</v>
      </c>
      <c r="O64" s="400">
        <f>IF(O14&gt;O15/2,ROUND(O94*'New Hire'!P63,0),0)</f>
        <v>0</v>
      </c>
      <c r="P64" s="346">
        <f t="shared" si="23"/>
        <v>2851500</v>
      </c>
      <c r="Q64" s="379"/>
      <c r="R64" s="379"/>
      <c r="S64" s="379"/>
      <c r="T64" s="379"/>
      <c r="U64" s="379"/>
      <c r="V64" s="49" t="s">
        <v>2</v>
      </c>
      <c r="W64" s="39">
        <v>91999908</v>
      </c>
      <c r="X64" s="7" t="s">
        <v>603</v>
      </c>
      <c r="Y64" s="80" t="s">
        <v>531</v>
      </c>
      <c r="Z64" s="60">
        <v>3240</v>
      </c>
      <c r="AA64" s="332">
        <v>600</v>
      </c>
      <c r="AB64" s="7" t="s">
        <v>542</v>
      </c>
      <c r="AC64" s="12"/>
    </row>
    <row r="65" spans="1:29">
      <c r="A65" s="412" t="s">
        <v>1131</v>
      </c>
      <c r="B65" s="332">
        <f>ROUND(MIN(B94,29800000)*2%,0)</f>
        <v>200000</v>
      </c>
      <c r="C65" s="332">
        <f t="shared" ref="C65:O65" si="24">ROUND(MIN(C94,29800000)*2%,0)</f>
        <v>187000</v>
      </c>
      <c r="D65" s="332">
        <f t="shared" si="24"/>
        <v>222000</v>
      </c>
      <c r="E65" s="332">
        <f t="shared" si="24"/>
        <v>180000</v>
      </c>
      <c r="F65" s="332">
        <f t="shared" si="24"/>
        <v>280000</v>
      </c>
      <c r="G65" s="332">
        <f t="shared" si="24"/>
        <v>0</v>
      </c>
      <c r="H65" s="332">
        <f t="shared" si="24"/>
        <v>556000</v>
      </c>
      <c r="I65" s="332">
        <f t="shared" si="24"/>
        <v>556000</v>
      </c>
      <c r="J65" s="438">
        <f t="shared" si="24"/>
        <v>556000</v>
      </c>
      <c r="K65" s="332">
        <f t="shared" si="24"/>
        <v>208000</v>
      </c>
      <c r="L65" s="332">
        <f t="shared" si="24"/>
        <v>556000</v>
      </c>
      <c r="M65" s="332">
        <f t="shared" si="24"/>
        <v>150000</v>
      </c>
      <c r="N65" s="332">
        <f t="shared" si="24"/>
        <v>180000</v>
      </c>
      <c r="O65" s="400">
        <f t="shared" si="24"/>
        <v>0</v>
      </c>
      <c r="P65" s="355">
        <f>SUM(B65:O65)-J65</f>
        <v>3275000</v>
      </c>
      <c r="Q65" s="379"/>
      <c r="R65" s="379"/>
      <c r="S65" s="379"/>
      <c r="T65" s="379"/>
      <c r="U65" s="379"/>
      <c r="V65" s="49" t="s">
        <v>2</v>
      </c>
      <c r="W65" s="39">
        <v>91999908</v>
      </c>
      <c r="X65" s="7" t="s">
        <v>603</v>
      </c>
      <c r="Y65" s="80" t="s">
        <v>531</v>
      </c>
      <c r="Z65" s="60">
        <v>8200</v>
      </c>
      <c r="AA65" s="332">
        <v>50</v>
      </c>
      <c r="AB65" s="7" t="s">
        <v>583</v>
      </c>
      <c r="AC65" s="12"/>
    </row>
    <row r="66" spans="1:29">
      <c r="A66" s="445" t="s">
        <v>512</v>
      </c>
      <c r="B66" s="332">
        <f>IF(OR(B18="A",B18="B"),B87,ROUND(B87*B13%,0))</f>
        <v>679452</v>
      </c>
      <c r="C66" s="332">
        <f>IF(OR(C18="A",C18="B"),C87,ROUND(C87*C13%,0))</f>
        <v>679452</v>
      </c>
      <c r="D66" s="332"/>
      <c r="E66" s="332">
        <f>IF(OR(E18="A",E18="B"),E87,ROUND(E87*E13%,0))</f>
        <v>679452</v>
      </c>
      <c r="F66" s="332">
        <f>IF(OR(F18="A",F18="B"),F87,ROUND(F87*F13%,0))</f>
        <v>679452</v>
      </c>
      <c r="G66" s="332"/>
      <c r="H66" s="332">
        <f>IF(OR(H18="A",H18="B"),H87,ROUND(H87*H13%,0))</f>
        <v>339726</v>
      </c>
      <c r="I66" s="332"/>
      <c r="J66" s="439"/>
      <c r="K66" s="340"/>
      <c r="L66" s="340"/>
      <c r="M66" s="340"/>
      <c r="N66" s="340"/>
      <c r="O66" s="401"/>
      <c r="P66" s="355">
        <f>SUM(B66:O66)-J66</f>
        <v>3057534</v>
      </c>
      <c r="Q66" s="380"/>
      <c r="R66" s="379"/>
      <c r="S66" s="380"/>
      <c r="T66" s="380"/>
      <c r="U66" s="380"/>
      <c r="V66" s="49" t="s">
        <v>2</v>
      </c>
      <c r="W66" s="39">
        <v>91999908</v>
      </c>
      <c r="X66" s="7" t="s">
        <v>603</v>
      </c>
      <c r="Y66" s="80" t="s">
        <v>531</v>
      </c>
      <c r="Z66" s="60">
        <v>8205</v>
      </c>
      <c r="AA66" s="332">
        <v>60</v>
      </c>
      <c r="AB66" s="7" t="s">
        <v>583</v>
      </c>
      <c r="AC66" s="12"/>
    </row>
    <row r="67" spans="1:29">
      <c r="A67" s="412"/>
      <c r="B67" s="331"/>
      <c r="C67" s="332"/>
      <c r="D67" s="332"/>
      <c r="E67" s="340"/>
      <c r="F67" s="332"/>
      <c r="G67" s="332"/>
      <c r="H67" s="332"/>
      <c r="I67" s="332"/>
      <c r="J67" s="439"/>
      <c r="K67" s="340"/>
      <c r="L67" s="340"/>
      <c r="M67" s="340"/>
      <c r="N67" s="340"/>
      <c r="O67" s="401"/>
      <c r="P67" s="346"/>
      <c r="Q67" s="379"/>
      <c r="R67" s="379"/>
      <c r="S67" s="379"/>
      <c r="T67" s="379"/>
      <c r="U67" s="379"/>
      <c r="V67" s="49" t="s">
        <v>2</v>
      </c>
      <c r="W67" s="39">
        <v>91999904</v>
      </c>
      <c r="X67" s="80" t="s">
        <v>507</v>
      </c>
      <c r="Y67" s="80" t="s">
        <v>531</v>
      </c>
      <c r="Z67" s="60">
        <v>8200</v>
      </c>
      <c r="AA67" s="332">
        <v>1000000</v>
      </c>
      <c r="AB67" s="7"/>
      <c r="AC67" s="12"/>
    </row>
    <row r="68" spans="1:29" ht="15.6">
      <c r="A68" s="411" t="s">
        <v>475</v>
      </c>
      <c r="B68" s="331"/>
      <c r="C68" s="332"/>
      <c r="D68" s="332"/>
      <c r="E68" s="340"/>
      <c r="F68" s="332"/>
      <c r="G68" s="332"/>
      <c r="H68" s="332"/>
      <c r="I68" s="332"/>
      <c r="J68" s="439"/>
      <c r="K68" s="340"/>
      <c r="L68" s="340"/>
      <c r="M68" s="340"/>
      <c r="N68" s="340"/>
      <c r="O68" s="401"/>
      <c r="P68" s="346"/>
      <c r="Q68" s="379"/>
      <c r="R68" s="379"/>
      <c r="S68" s="379"/>
      <c r="T68" s="379"/>
      <c r="U68" s="379"/>
      <c r="V68" s="49" t="s">
        <v>2</v>
      </c>
      <c r="W68" s="39">
        <v>91999904</v>
      </c>
      <c r="X68" s="80" t="s">
        <v>507</v>
      </c>
      <c r="Y68" s="80" t="s">
        <v>531</v>
      </c>
      <c r="Z68" s="60">
        <v>8205</v>
      </c>
      <c r="AA68" s="332">
        <v>1500000</v>
      </c>
      <c r="AB68" s="7"/>
      <c r="AC68" s="12"/>
    </row>
    <row r="69" spans="1:29">
      <c r="A69" s="445" t="s">
        <v>1281</v>
      </c>
      <c r="B69" s="332">
        <f>IF(AND(OR(B11="1",B11="P"),'New Hire'!C28="Local"),ROUND(B136*B13%*B85,0),0)</f>
        <v>432331</v>
      </c>
      <c r="C69" s="332">
        <f>IF(AND(OR(C11="1",C11="P"),'New Hire'!D28="Local"),ROUND(C136*C13%*C85,0),0)</f>
        <v>194549</v>
      </c>
      <c r="D69" s="332">
        <f>IF(AND(OR(D11="1",D11="P"),'New Hire'!E28="Local"),ROUND(D136*D13%*D85,0),0)</f>
        <v>0</v>
      </c>
      <c r="E69" s="332">
        <f>IF(AND(OR(E11="1",E11="P"),'New Hire'!F28="Local"),ROUND(E136*E13%*E85,0),0)</f>
        <v>0</v>
      </c>
      <c r="F69" s="332">
        <f>IF(AND(OR(F11="1",F11="P"),'New Hire'!G28="Local"),ROUND(F136*F13%*F85,0),0)</f>
        <v>0</v>
      </c>
      <c r="G69" s="332">
        <f>IF(AND(OR(G11="1",G11="P"),'New Hire'!H28="Local"),ROUND(G136*G13%*G85,0),0)</f>
        <v>0</v>
      </c>
      <c r="H69" s="332">
        <f>IF(AND(OR(H11="1",H11="P"),'New Hire'!I28="Local"),ROUND(H136*H13%*H85,0),0)</f>
        <v>0</v>
      </c>
      <c r="I69" s="332">
        <f>IF(AND(OR(I11="1",I11="P"),'New Hire'!J28="Local"),ROUND(I136*I13%*I85,0),0)</f>
        <v>0</v>
      </c>
      <c r="J69" s="438">
        <f>IF(AND(OR(J11="1",J11="P"),'New Hire'!K28="Local"),ROUND(J136*J13%*J85,0),0)</f>
        <v>281955</v>
      </c>
      <c r="K69" s="332">
        <f>IF(AND(OR(K11="1",K11="P"),'New Hire'!L28="Local"),ROUND(K136*K13%*K85,0),0)</f>
        <v>691730</v>
      </c>
      <c r="L69" s="332">
        <f>IF(AND(OR(L11="1",L11="P"),'New Hire'!M28="Local"),ROUND(L136*L13%*L85,0),0)</f>
        <v>7781958</v>
      </c>
      <c r="M69" s="332">
        <f>IF(AND(OR(M11="1",M11="P"),'New Hire'!N28="Local"),ROUND(M136*M13%*M85,0),0)</f>
        <v>0</v>
      </c>
      <c r="N69" s="332">
        <f>IF(AND(OR(N11="1",N11="P"),'New Hire'!O28="Local"),ROUND(N136*N13%*N85,0),0)</f>
        <v>0</v>
      </c>
      <c r="O69" s="400">
        <f>IF(AND(OR(O11="1",O11="P"),'New Hire'!P28="Local"),ROUND(O136*O13%*O85,0),0)</f>
        <v>0</v>
      </c>
      <c r="P69" s="346">
        <f t="shared" si="23"/>
        <v>9100568</v>
      </c>
      <c r="Q69" s="379"/>
      <c r="R69" s="379"/>
      <c r="S69" s="379"/>
      <c r="T69" s="379"/>
      <c r="U69" s="379"/>
      <c r="V69" s="49" t="s">
        <v>2</v>
      </c>
      <c r="W69" s="39">
        <v>91999908</v>
      </c>
      <c r="X69" s="7" t="s">
        <v>891</v>
      </c>
      <c r="Y69" s="80" t="s">
        <v>901</v>
      </c>
      <c r="Z69" s="60">
        <v>3601</v>
      </c>
      <c r="AA69" s="332">
        <v>150</v>
      </c>
      <c r="AB69" s="7" t="s">
        <v>893</v>
      </c>
      <c r="AC69" s="12"/>
    </row>
    <row r="70" spans="1:29">
      <c r="A70" s="445" t="s">
        <v>484</v>
      </c>
      <c r="B70" s="617"/>
      <c r="C70" s="617">
        <f>CEILING((AB71-AB72)/261,0.5)</f>
        <v>2.5</v>
      </c>
      <c r="D70" s="617"/>
      <c r="E70" s="617"/>
      <c r="F70" s="617"/>
      <c r="G70" s="617"/>
      <c r="H70" s="617">
        <f>CEILING((AB73+H14)/261,0.5)</f>
        <v>4.5</v>
      </c>
      <c r="I70" s="617">
        <f>CEILING(I14/261,0.5)</f>
        <v>0.5</v>
      </c>
      <c r="J70" s="563"/>
      <c r="K70" s="617"/>
      <c r="L70" s="617"/>
      <c r="M70" s="617"/>
      <c r="N70" s="617">
        <f>CEILING(AB74/261,0.5)</f>
        <v>1.5</v>
      </c>
      <c r="O70" s="619"/>
      <c r="P70" s="618">
        <f t="shared" si="23"/>
        <v>9</v>
      </c>
      <c r="Q70" s="379"/>
      <c r="R70" s="379"/>
      <c r="S70" s="379"/>
      <c r="T70" s="379"/>
      <c r="U70" s="379"/>
      <c r="V70" s="49" t="s">
        <v>2</v>
      </c>
      <c r="W70" s="39">
        <v>91999910</v>
      </c>
      <c r="X70" s="7" t="s">
        <v>892</v>
      </c>
      <c r="Y70" s="80" t="s">
        <v>901</v>
      </c>
      <c r="Z70" s="60">
        <v>3601</v>
      </c>
      <c r="AA70" s="332">
        <v>4000000</v>
      </c>
      <c r="AB70" s="7"/>
      <c r="AC70" s="12"/>
    </row>
    <row r="71" spans="1:29">
      <c r="A71" s="445" t="s">
        <v>587</v>
      </c>
      <c r="B71" s="332">
        <f>B96</f>
        <v>10300000</v>
      </c>
      <c r="C71" s="332">
        <f t="shared" ref="C71:O71" si="25">C96</f>
        <v>10380000</v>
      </c>
      <c r="D71" s="332">
        <f t="shared" si="25"/>
        <v>13630000</v>
      </c>
      <c r="E71" s="332">
        <f t="shared" si="25"/>
        <v>10800000</v>
      </c>
      <c r="F71" s="332">
        <f t="shared" si="25"/>
        <v>15800000</v>
      </c>
      <c r="G71" s="332">
        <f t="shared" si="25"/>
        <v>0</v>
      </c>
      <c r="H71" s="332">
        <f t="shared" si="25"/>
        <v>151992750</v>
      </c>
      <c r="I71" s="332">
        <f t="shared" si="25"/>
        <v>93632175</v>
      </c>
      <c r="J71" s="438">
        <f t="shared" si="25"/>
        <v>65000000</v>
      </c>
      <c r="K71" s="332">
        <f t="shared" si="25"/>
        <v>11130000</v>
      </c>
      <c r="L71" s="332">
        <f t="shared" si="25"/>
        <v>90000000</v>
      </c>
      <c r="M71" s="332">
        <f t="shared" si="25"/>
        <v>7500000</v>
      </c>
      <c r="N71" s="332">
        <f t="shared" si="25"/>
        <v>9000000</v>
      </c>
      <c r="O71" s="400">
        <f t="shared" si="25"/>
        <v>0</v>
      </c>
      <c r="P71" s="346">
        <f t="shared" si="23"/>
        <v>424164925</v>
      </c>
      <c r="Q71" s="379"/>
      <c r="R71" s="379"/>
      <c r="S71" s="379"/>
      <c r="T71" s="379"/>
      <c r="U71" s="379"/>
      <c r="V71" s="49" t="s">
        <v>1289</v>
      </c>
      <c r="W71" s="39">
        <v>91999902</v>
      </c>
      <c r="X71" s="7" t="s">
        <v>1290</v>
      </c>
      <c r="Y71" s="7" t="s">
        <v>1290</v>
      </c>
      <c r="Z71" s="60">
        <v>9200</v>
      </c>
      <c r="AA71" s="332"/>
      <c r="AB71" s="7">
        <v>726</v>
      </c>
      <c r="AC71" s="12" t="s">
        <v>1291</v>
      </c>
    </row>
    <row r="72" spans="1:29">
      <c r="A72" s="412"/>
      <c r="B72" s="331"/>
      <c r="C72" s="332"/>
      <c r="D72" s="332"/>
      <c r="E72" s="340"/>
      <c r="F72" s="332"/>
      <c r="G72" s="332"/>
      <c r="H72" s="332"/>
      <c r="I72" s="332"/>
      <c r="J72" s="439"/>
      <c r="K72" s="340"/>
      <c r="L72" s="340"/>
      <c r="M72" s="340"/>
      <c r="N72" s="340"/>
      <c r="O72" s="401"/>
      <c r="P72" s="346"/>
      <c r="Q72" s="379"/>
      <c r="R72" s="379"/>
      <c r="S72" s="379"/>
      <c r="T72" s="379"/>
      <c r="U72" s="379"/>
      <c r="V72" s="49" t="s">
        <v>1289</v>
      </c>
      <c r="W72" s="39">
        <v>91999902</v>
      </c>
      <c r="X72" s="7" t="s">
        <v>1290</v>
      </c>
      <c r="Y72" s="7" t="s">
        <v>1290</v>
      </c>
      <c r="Z72" s="60">
        <v>9201</v>
      </c>
      <c r="AA72" s="332"/>
      <c r="AB72" s="7">
        <v>80</v>
      </c>
      <c r="AC72" s="12" t="s">
        <v>1291</v>
      </c>
    </row>
    <row r="73" spans="1:29" ht="15.6">
      <c r="A73" s="411" t="s">
        <v>889</v>
      </c>
      <c r="B73" s="480"/>
      <c r="C73" s="480"/>
      <c r="D73" s="480"/>
      <c r="E73" s="480"/>
      <c r="F73" s="480"/>
      <c r="G73" s="480"/>
      <c r="H73" s="480"/>
      <c r="I73" s="480"/>
      <c r="J73" s="589"/>
      <c r="K73" s="480"/>
      <c r="L73" s="480"/>
      <c r="M73" s="480"/>
      <c r="N73" s="480"/>
      <c r="O73" s="588"/>
      <c r="P73" s="346"/>
      <c r="Q73" s="379"/>
      <c r="R73" s="379"/>
      <c r="S73" s="379"/>
      <c r="T73" s="379"/>
      <c r="U73" s="379"/>
      <c r="V73" s="49" t="s">
        <v>1289</v>
      </c>
      <c r="W73" s="39">
        <v>91999907</v>
      </c>
      <c r="X73" s="7" t="s">
        <v>1290</v>
      </c>
      <c r="Y73" s="7" t="s">
        <v>1290</v>
      </c>
      <c r="Z73" s="60">
        <v>9220</v>
      </c>
      <c r="AA73" s="332"/>
      <c r="AB73" s="7">
        <v>1132</v>
      </c>
      <c r="AC73" s="12" t="s">
        <v>1291</v>
      </c>
    </row>
    <row r="74" spans="1:29">
      <c r="A74" s="474" t="s">
        <v>1182</v>
      </c>
      <c r="B74" s="340">
        <f t="shared" ref="B74:O74" si="26">B80*(B110+B111)</f>
        <v>0</v>
      </c>
      <c r="C74" s="340">
        <f t="shared" si="26"/>
        <v>0</v>
      </c>
      <c r="D74" s="340">
        <f t="shared" si="26"/>
        <v>0</v>
      </c>
      <c r="E74" s="340">
        <f t="shared" si="26"/>
        <v>0</v>
      </c>
      <c r="F74" s="340">
        <f t="shared" si="26"/>
        <v>0</v>
      </c>
      <c r="G74" s="340">
        <f t="shared" si="26"/>
        <v>0</v>
      </c>
      <c r="H74" s="340">
        <f t="shared" si="26"/>
        <v>0</v>
      </c>
      <c r="I74" s="340">
        <f t="shared" si="26"/>
        <v>0</v>
      </c>
      <c r="J74" s="439">
        <f t="shared" si="26"/>
        <v>0</v>
      </c>
      <c r="K74" s="340">
        <f t="shared" si="26"/>
        <v>0</v>
      </c>
      <c r="L74" s="340">
        <f t="shared" si="26"/>
        <v>0</v>
      </c>
      <c r="M74" s="340">
        <f t="shared" si="26"/>
        <v>0</v>
      </c>
      <c r="N74" s="340">
        <f t="shared" si="26"/>
        <v>0</v>
      </c>
      <c r="O74" s="401">
        <f t="shared" si="26"/>
        <v>0</v>
      </c>
      <c r="P74" s="346">
        <f t="shared" si="23"/>
        <v>0</v>
      </c>
      <c r="Q74" s="379"/>
      <c r="R74" s="379"/>
      <c r="S74" s="379"/>
      <c r="T74" s="379"/>
      <c r="U74" s="379"/>
      <c r="V74" s="49" t="s">
        <v>1289</v>
      </c>
      <c r="W74" s="39">
        <v>91999913</v>
      </c>
      <c r="X74" s="7" t="s">
        <v>1290</v>
      </c>
      <c r="Y74" s="7" t="s">
        <v>1290</v>
      </c>
      <c r="Z74" s="60">
        <v>9200</v>
      </c>
      <c r="AA74" s="332"/>
      <c r="AB74" s="7">
        <v>263</v>
      </c>
      <c r="AC74" s="12" t="s">
        <v>1291</v>
      </c>
    </row>
    <row r="75" spans="1:29">
      <c r="A75" s="474" t="s">
        <v>886</v>
      </c>
      <c r="B75" s="340">
        <f t="shared" ref="B75:O75" si="27">B108*B80</f>
        <v>4615360</v>
      </c>
      <c r="C75" s="340">
        <f t="shared" si="27"/>
        <v>1869264</v>
      </c>
      <c r="D75" s="340">
        <f t="shared" si="27"/>
        <v>6337618.0499999998</v>
      </c>
      <c r="E75" s="340">
        <f t="shared" si="27"/>
        <v>8307680</v>
      </c>
      <c r="F75" s="340">
        <f t="shared" si="27"/>
        <v>10338432</v>
      </c>
      <c r="G75" s="340">
        <f t="shared" si="27"/>
        <v>0</v>
      </c>
      <c r="H75" s="340">
        <f t="shared" si="27"/>
        <v>50337040</v>
      </c>
      <c r="I75" s="340">
        <f t="shared" si="27"/>
        <v>0</v>
      </c>
      <c r="J75" s="439">
        <f t="shared" si="27"/>
        <v>12784635.84</v>
      </c>
      <c r="K75" s="340">
        <f t="shared" si="27"/>
        <v>7384640</v>
      </c>
      <c r="L75" s="340">
        <f t="shared" si="27"/>
        <v>83076960</v>
      </c>
      <c r="M75" s="340">
        <f t="shared" si="27"/>
        <v>4615360</v>
      </c>
      <c r="N75" s="340">
        <f t="shared" si="27"/>
        <v>6000000</v>
      </c>
      <c r="O75" s="401">
        <f t="shared" si="27"/>
        <v>0</v>
      </c>
      <c r="P75" s="346">
        <f t="shared" si="23"/>
        <v>182882354.04999998</v>
      </c>
      <c r="Q75" s="379"/>
      <c r="R75" s="379"/>
      <c r="S75" s="379"/>
      <c r="T75" s="379"/>
      <c r="U75" s="379"/>
      <c r="V75" s="32"/>
      <c r="W75" s="44"/>
      <c r="X75" s="13"/>
      <c r="Y75" s="13"/>
      <c r="Z75" s="13"/>
      <c r="AA75" s="362"/>
      <c r="AB75" s="13"/>
      <c r="AC75" s="18"/>
    </row>
    <row r="76" spans="1:29">
      <c r="A76" s="474" t="s">
        <v>887</v>
      </c>
      <c r="B76" s="340">
        <f>ROUND((B121+B129+B128)*12*AB33*B15/266,0)</f>
        <v>536229</v>
      </c>
      <c r="C76" s="340"/>
      <c r="D76" s="340"/>
      <c r="E76" s="340"/>
      <c r="F76" s="340"/>
      <c r="G76" s="340"/>
      <c r="H76" s="340">
        <f>ROUND((H136+H129+H128)*12*AB34*H15/266,0)</f>
        <v>63371634</v>
      </c>
      <c r="I76" s="340"/>
      <c r="J76" s="439"/>
      <c r="K76" s="340"/>
      <c r="L76" s="340"/>
      <c r="M76" s="340"/>
      <c r="N76" s="340"/>
      <c r="O76" s="401"/>
      <c r="P76" s="346">
        <f t="shared" si="23"/>
        <v>63907863</v>
      </c>
      <c r="Q76" s="379"/>
      <c r="R76" s="379"/>
      <c r="S76" s="379"/>
      <c r="T76" s="379"/>
      <c r="U76" s="379"/>
      <c r="V76" s="32"/>
      <c r="W76" s="44"/>
      <c r="X76" s="13"/>
      <c r="Y76" s="13"/>
      <c r="Z76" s="13"/>
      <c r="AA76" s="362"/>
      <c r="AB76" s="13"/>
      <c r="AC76" s="18"/>
    </row>
    <row r="77" spans="1:29">
      <c r="A77" s="474" t="s">
        <v>888</v>
      </c>
      <c r="B77" s="340"/>
      <c r="C77" s="340">
        <f>ROUND(C70*C24*50%,0)</f>
        <v>5625000</v>
      </c>
      <c r="D77" s="340"/>
      <c r="E77" s="340"/>
      <c r="F77" s="340"/>
      <c r="G77" s="340"/>
      <c r="H77" s="340">
        <f>ROUND(H70*H24*50%,0)</f>
        <v>245392875</v>
      </c>
      <c r="I77" s="340"/>
      <c r="J77" s="439"/>
      <c r="K77" s="340"/>
      <c r="L77" s="340"/>
      <c r="M77" s="340"/>
      <c r="N77" s="340">
        <f>ROUND(N70*N24*50%,0)</f>
        <v>4875000</v>
      </c>
      <c r="O77" s="401"/>
      <c r="P77" s="346">
        <f t="shared" si="23"/>
        <v>255892875</v>
      </c>
      <c r="Q77" s="379"/>
      <c r="R77" s="379"/>
      <c r="S77" s="379"/>
      <c r="T77" s="379"/>
      <c r="U77" s="379"/>
      <c r="V77" s="42"/>
      <c r="W77" s="43"/>
      <c r="X77" s="13"/>
      <c r="Y77" s="13"/>
      <c r="Z77" s="61"/>
      <c r="AA77" s="362"/>
      <c r="AB77" s="13"/>
      <c r="AC77" s="18"/>
    </row>
    <row r="78" spans="1:29">
      <c r="A78" s="474"/>
      <c r="B78" s="480"/>
      <c r="C78" s="480"/>
      <c r="D78" s="480"/>
      <c r="E78" s="480"/>
      <c r="F78" s="480"/>
      <c r="G78" s="480"/>
      <c r="H78" s="480"/>
      <c r="I78" s="480"/>
      <c r="J78" s="589"/>
      <c r="K78" s="480"/>
      <c r="L78" s="480"/>
      <c r="M78" s="480"/>
      <c r="N78" s="480"/>
      <c r="O78" s="588"/>
      <c r="P78" s="346"/>
      <c r="Q78" s="379"/>
      <c r="R78" s="379"/>
      <c r="S78" s="379"/>
      <c r="T78" s="379"/>
      <c r="U78" s="379"/>
      <c r="V78" s="24" t="s">
        <v>57</v>
      </c>
      <c r="W78" s="37" t="s">
        <v>67</v>
      </c>
      <c r="X78" s="37" t="s">
        <v>69</v>
      </c>
      <c r="Y78" s="37" t="s">
        <v>70</v>
      </c>
      <c r="Z78" s="62" t="s">
        <v>425</v>
      </c>
      <c r="AA78" s="363" t="s">
        <v>426</v>
      </c>
      <c r="AB78" s="37" t="s">
        <v>56</v>
      </c>
      <c r="AC78" s="38" t="s">
        <v>683</v>
      </c>
    </row>
    <row r="79" spans="1:29" ht="15.6">
      <c r="A79" s="411" t="s">
        <v>485</v>
      </c>
      <c r="B79" s="331"/>
      <c r="C79" s="332"/>
      <c r="D79" s="332"/>
      <c r="E79" s="340"/>
      <c r="F79" s="332"/>
      <c r="G79" s="332"/>
      <c r="H79" s="332"/>
      <c r="I79" s="332"/>
      <c r="J79" s="439"/>
      <c r="K79" s="340"/>
      <c r="L79" s="340"/>
      <c r="M79" s="340"/>
      <c r="N79" s="340"/>
      <c r="O79" s="401"/>
      <c r="P79" s="346"/>
      <c r="Q79" s="379"/>
      <c r="R79" s="379"/>
      <c r="S79" s="379"/>
      <c r="T79" s="379"/>
      <c r="U79" s="379"/>
      <c r="V79" s="49" t="s">
        <v>423</v>
      </c>
      <c r="W79" s="353">
        <v>91999906</v>
      </c>
      <c r="X79" s="289" t="s">
        <v>1279</v>
      </c>
      <c r="Y79" s="289" t="s">
        <v>1279</v>
      </c>
      <c r="Z79" s="292">
        <v>0.375</v>
      </c>
      <c r="AA79" s="292">
        <v>0.47916666666666669</v>
      </c>
      <c r="AB79" s="290">
        <v>9180</v>
      </c>
      <c r="AC79" s="479">
        <v>2.5</v>
      </c>
    </row>
    <row r="80" spans="1:29">
      <c r="A80" s="445" t="s">
        <v>490</v>
      </c>
      <c r="B80" s="332">
        <f t="shared" ref="B80:O80" si="28">IF(OR(B18="A",B18="B"),IF(B11&lt;&gt;"C",ROUND(B121*12/52/40,0),0),IF(B11&lt;&gt;"C",ROUND(B136*12/52/40,0),0))</f>
        <v>28846</v>
      </c>
      <c r="C80" s="332">
        <f t="shared" si="28"/>
        <v>25962</v>
      </c>
      <c r="D80" s="332">
        <f t="shared" si="28"/>
        <v>40385</v>
      </c>
      <c r="E80" s="332">
        <f t="shared" si="28"/>
        <v>51923</v>
      </c>
      <c r="F80" s="332">
        <f t="shared" si="28"/>
        <v>80769</v>
      </c>
      <c r="G80" s="332">
        <f t="shared" si="28"/>
        <v>0</v>
      </c>
      <c r="H80" s="332">
        <f t="shared" si="28"/>
        <v>629213</v>
      </c>
      <c r="I80" s="332">
        <f t="shared" si="28"/>
        <v>495338</v>
      </c>
      <c r="J80" s="438">
        <f t="shared" si="28"/>
        <v>288462</v>
      </c>
      <c r="K80" s="332">
        <f t="shared" si="28"/>
        <v>46154</v>
      </c>
      <c r="L80" s="332">
        <f t="shared" si="28"/>
        <v>519231</v>
      </c>
      <c r="M80" s="332">
        <f t="shared" si="28"/>
        <v>28846</v>
      </c>
      <c r="N80" s="332">
        <f t="shared" si="28"/>
        <v>37500</v>
      </c>
      <c r="O80" s="400">
        <f t="shared" si="28"/>
        <v>0</v>
      </c>
      <c r="P80" s="346">
        <f t="shared" si="23"/>
        <v>1984167</v>
      </c>
      <c r="Q80" s="341"/>
      <c r="R80" s="341"/>
      <c r="S80" s="341"/>
      <c r="T80" s="341"/>
      <c r="U80" s="341"/>
      <c r="V80" s="49" t="s">
        <v>423</v>
      </c>
      <c r="W80" s="353">
        <v>91999906</v>
      </c>
      <c r="X80" s="289" t="s">
        <v>686</v>
      </c>
      <c r="Y80" s="289" t="s">
        <v>686</v>
      </c>
      <c r="Z80" s="292">
        <v>0.375</v>
      </c>
      <c r="AA80" s="292">
        <v>0.47916666666666669</v>
      </c>
      <c r="AB80" s="290">
        <v>9180</v>
      </c>
      <c r="AC80" s="479">
        <v>2.5</v>
      </c>
    </row>
    <row r="81" spans="1:29">
      <c r="A81" s="445" t="s">
        <v>501</v>
      </c>
      <c r="B81" s="332">
        <f t="shared" ref="B81:O81" si="29">IF(B11&lt;&gt;"C",IF(OR(B18="A",B18="B"),ROUND(SUM(B121,B123:B124,B127)*12/52/5*B13%,0),ROUND(SUM(B136,B123*$B$4,B124*$B$4,B127*$B$4)*12/52/5*B13%,0)),0)</f>
        <v>392308</v>
      </c>
      <c r="C81" s="332">
        <f t="shared" si="29"/>
        <v>181154</v>
      </c>
      <c r="D81" s="332">
        <f t="shared" si="29"/>
        <v>512308</v>
      </c>
      <c r="E81" s="332">
        <f t="shared" si="29"/>
        <v>415385</v>
      </c>
      <c r="F81" s="332">
        <f t="shared" si="29"/>
        <v>646154</v>
      </c>
      <c r="G81" s="332">
        <f t="shared" si="29"/>
        <v>0</v>
      </c>
      <c r="H81" s="332">
        <f t="shared" si="29"/>
        <v>3507525</v>
      </c>
      <c r="I81" s="332">
        <f t="shared" si="29"/>
        <v>4321485</v>
      </c>
      <c r="J81" s="438">
        <f t="shared" si="29"/>
        <v>1500000</v>
      </c>
      <c r="K81" s="332">
        <f t="shared" si="29"/>
        <v>480000</v>
      </c>
      <c r="L81" s="332">
        <f t="shared" si="29"/>
        <v>4153846</v>
      </c>
      <c r="M81" s="332">
        <f t="shared" si="29"/>
        <v>346154</v>
      </c>
      <c r="N81" s="332">
        <f t="shared" si="29"/>
        <v>415385</v>
      </c>
      <c r="O81" s="400">
        <f t="shared" si="29"/>
        <v>0</v>
      </c>
      <c r="P81" s="346">
        <f t="shared" si="23"/>
        <v>15371704</v>
      </c>
      <c r="Q81" s="341"/>
      <c r="R81" s="341"/>
      <c r="S81" s="341"/>
      <c r="T81" s="341"/>
      <c r="U81" s="341"/>
      <c r="V81" s="49" t="s">
        <v>423</v>
      </c>
      <c r="W81" s="353">
        <v>91999914</v>
      </c>
      <c r="X81" s="289" t="s">
        <v>684</v>
      </c>
      <c r="Y81" s="289" t="s">
        <v>684</v>
      </c>
      <c r="Z81" s="292">
        <v>0.375</v>
      </c>
      <c r="AA81" s="292">
        <v>0.47916666666666669</v>
      </c>
      <c r="AB81" s="290">
        <v>9180</v>
      </c>
      <c r="AC81" s="479">
        <v>2.5</v>
      </c>
    </row>
    <row r="82" spans="1:29">
      <c r="A82" s="445" t="s">
        <v>502</v>
      </c>
      <c r="B82" s="332">
        <f t="shared" ref="B82:O82" si="30">IF(OR(B18="A",B18="B"),ROUND(B121/B15,0),ROUND(B136/B15,0))</f>
        <v>217391</v>
      </c>
      <c r="C82" s="332">
        <f t="shared" si="30"/>
        <v>195652</v>
      </c>
      <c r="D82" s="332">
        <f t="shared" si="30"/>
        <v>304348</v>
      </c>
      <c r="E82" s="332">
        <f t="shared" si="30"/>
        <v>391304</v>
      </c>
      <c r="F82" s="332">
        <f t="shared" si="30"/>
        <v>608696</v>
      </c>
      <c r="G82" s="332">
        <f t="shared" si="30"/>
        <v>0</v>
      </c>
      <c r="H82" s="332">
        <f t="shared" si="30"/>
        <v>4741891</v>
      </c>
      <c r="I82" s="332">
        <f t="shared" si="30"/>
        <v>3732978</v>
      </c>
      <c r="J82" s="438">
        <f t="shared" si="30"/>
        <v>2173913</v>
      </c>
      <c r="K82" s="332">
        <f t="shared" si="30"/>
        <v>347826</v>
      </c>
      <c r="L82" s="332">
        <f t="shared" si="30"/>
        <v>3913043</v>
      </c>
      <c r="M82" s="332">
        <f t="shared" si="30"/>
        <v>217391</v>
      </c>
      <c r="N82" s="332">
        <f t="shared" si="30"/>
        <v>282609</v>
      </c>
      <c r="O82" s="400">
        <f t="shared" si="30"/>
        <v>0</v>
      </c>
      <c r="P82" s="346">
        <f t="shared" si="23"/>
        <v>14953129</v>
      </c>
      <c r="Q82" s="341"/>
      <c r="R82" s="341"/>
      <c r="S82" s="341"/>
      <c r="T82" s="341"/>
      <c r="U82" s="341"/>
      <c r="V82" s="49" t="s">
        <v>423</v>
      </c>
      <c r="W82" s="353">
        <v>91999914</v>
      </c>
      <c r="X82" s="289" t="s">
        <v>685</v>
      </c>
      <c r="Y82" s="289" t="s">
        <v>685</v>
      </c>
      <c r="Z82" s="292">
        <v>0.375</v>
      </c>
      <c r="AA82" s="292">
        <v>0.47916666666666669</v>
      </c>
      <c r="AB82" s="290">
        <v>9180</v>
      </c>
      <c r="AC82" s="479">
        <v>2.5</v>
      </c>
    </row>
    <row r="83" spans="1:29">
      <c r="A83" s="445" t="s">
        <v>628</v>
      </c>
      <c r="B83" s="332">
        <f t="shared" ref="B83:O83" si="31">IF(OR(B18="A",B18="B"),ROUND(SUM(B123:B125,B127:B130)/B15,0),ROUND(SUM(B123:B125,B127:B130)*$B$4/B15,0))</f>
        <v>447826</v>
      </c>
      <c r="C83" s="332">
        <f t="shared" si="31"/>
        <v>473043</v>
      </c>
      <c r="D83" s="332">
        <f t="shared" si="31"/>
        <v>505652</v>
      </c>
      <c r="E83" s="332">
        <f t="shared" si="31"/>
        <v>208696</v>
      </c>
      <c r="F83" s="332">
        <f t="shared" si="31"/>
        <v>208696</v>
      </c>
      <c r="G83" s="332">
        <f t="shared" si="31"/>
        <v>0</v>
      </c>
      <c r="H83" s="332">
        <f t="shared" si="31"/>
        <v>1866489</v>
      </c>
      <c r="I83" s="332">
        <f t="shared" si="31"/>
        <v>337986</v>
      </c>
      <c r="J83" s="438">
        <f t="shared" si="31"/>
        <v>652174</v>
      </c>
      <c r="K83" s="332">
        <f t="shared" si="31"/>
        <v>136087</v>
      </c>
      <c r="L83" s="332">
        <f t="shared" si="31"/>
        <v>0</v>
      </c>
      <c r="M83" s="332">
        <f t="shared" si="31"/>
        <v>108696</v>
      </c>
      <c r="N83" s="332">
        <f t="shared" si="31"/>
        <v>108696</v>
      </c>
      <c r="O83" s="400">
        <f t="shared" si="31"/>
        <v>0</v>
      </c>
      <c r="P83" s="346">
        <f t="shared" si="23"/>
        <v>4401867</v>
      </c>
      <c r="Q83" s="341"/>
      <c r="R83" s="341"/>
      <c r="S83" s="341"/>
      <c r="T83" s="341"/>
      <c r="U83" s="341"/>
      <c r="V83" s="32"/>
      <c r="W83" s="44"/>
      <c r="X83" s="13"/>
      <c r="Y83" s="13"/>
      <c r="Z83" s="13"/>
      <c r="AA83" s="362"/>
      <c r="AB83" s="13"/>
      <c r="AC83" s="18"/>
    </row>
    <row r="84" spans="1:29">
      <c r="A84" s="445" t="s">
        <v>503</v>
      </c>
      <c r="B84" s="671">
        <f t="shared" ref="B84:O84" si="32">ROUND(B14/B15,7)</f>
        <v>1</v>
      </c>
      <c r="C84" s="671">
        <f t="shared" si="32"/>
        <v>1</v>
      </c>
      <c r="D84" s="671">
        <f t="shared" si="32"/>
        <v>0.78260870000000005</v>
      </c>
      <c r="E84" s="671">
        <f t="shared" si="32"/>
        <v>1</v>
      </c>
      <c r="F84" s="671">
        <f t="shared" si="32"/>
        <v>1</v>
      </c>
      <c r="G84" s="671">
        <f t="shared" si="32"/>
        <v>1</v>
      </c>
      <c r="H84" s="671">
        <f t="shared" si="32"/>
        <v>1</v>
      </c>
      <c r="I84" s="671">
        <f t="shared" si="32"/>
        <v>0.43478260000000002</v>
      </c>
      <c r="J84" s="672">
        <f t="shared" si="32"/>
        <v>0.13043479999999999</v>
      </c>
      <c r="K84" s="671">
        <f t="shared" si="32"/>
        <v>1</v>
      </c>
      <c r="L84" s="671">
        <f t="shared" si="32"/>
        <v>1</v>
      </c>
      <c r="M84" s="671">
        <f t="shared" si="32"/>
        <v>1</v>
      </c>
      <c r="N84" s="671">
        <f t="shared" si="32"/>
        <v>1</v>
      </c>
      <c r="O84" s="673">
        <f t="shared" si="32"/>
        <v>1</v>
      </c>
      <c r="P84" s="346">
        <f t="shared" si="23"/>
        <v>12.217391299999999</v>
      </c>
      <c r="Q84" s="347"/>
      <c r="R84" s="347"/>
      <c r="S84" s="347"/>
      <c r="T84" s="347"/>
      <c r="U84" s="347"/>
      <c r="V84" s="32"/>
      <c r="W84" s="44"/>
      <c r="X84" s="13"/>
      <c r="Y84" s="13"/>
      <c r="Z84" s="13"/>
      <c r="AA84" s="362"/>
      <c r="AB84" s="13"/>
      <c r="AC84" s="18"/>
    </row>
    <row r="85" spans="1:29">
      <c r="A85" s="445" t="s">
        <v>504</v>
      </c>
      <c r="B85" s="671">
        <f>ROUND((B14-B131)/266,7)</f>
        <v>8.6466199999999993E-2</v>
      </c>
      <c r="C85" s="671">
        <f t="shared" ref="B85:O85" si="33">ROUND((C14-C131)/266,7)</f>
        <v>8.6466199999999993E-2</v>
      </c>
      <c r="D85" s="671">
        <f t="shared" si="33"/>
        <v>6.7669199999999999E-2</v>
      </c>
      <c r="E85" s="671">
        <f t="shared" si="33"/>
        <v>8.6466199999999993E-2</v>
      </c>
      <c r="F85" s="671">
        <f t="shared" si="33"/>
        <v>8.6466199999999993E-2</v>
      </c>
      <c r="G85" s="671">
        <f t="shared" si="33"/>
        <v>8.6466199999999993E-2</v>
      </c>
      <c r="H85" s="671">
        <f t="shared" si="33"/>
        <v>8.6466199999999993E-2</v>
      </c>
      <c r="I85" s="671">
        <f t="shared" si="33"/>
        <v>3.7594000000000002E-2</v>
      </c>
      <c r="J85" s="672">
        <f t="shared" si="33"/>
        <v>1.12782E-2</v>
      </c>
      <c r="K85" s="671">
        <f t="shared" si="33"/>
        <v>8.6466199999999993E-2</v>
      </c>
      <c r="L85" s="671">
        <f t="shared" si="33"/>
        <v>8.6466199999999993E-2</v>
      </c>
      <c r="M85" s="671">
        <f t="shared" si="33"/>
        <v>8.6466199999999993E-2</v>
      </c>
      <c r="N85" s="671">
        <f t="shared" si="33"/>
        <v>8.6466199999999993E-2</v>
      </c>
      <c r="O85" s="673">
        <f t="shared" si="33"/>
        <v>8.6466199999999993E-2</v>
      </c>
      <c r="P85" s="346">
        <f t="shared" si="23"/>
        <v>1.0563914000000001</v>
      </c>
      <c r="Q85" s="347"/>
      <c r="R85" s="347"/>
      <c r="S85" s="347"/>
      <c r="T85" s="347"/>
      <c r="U85" s="347"/>
      <c r="V85" s="42"/>
      <c r="W85" s="43"/>
      <c r="X85" s="13"/>
      <c r="Y85" s="13"/>
      <c r="Z85" s="61"/>
      <c r="AA85" s="362"/>
      <c r="AB85" s="13"/>
      <c r="AC85" s="18"/>
    </row>
    <row r="86" spans="1:29">
      <c r="A86" s="445" t="s">
        <v>505</v>
      </c>
      <c r="B86" s="7">
        <f t="shared" ref="B86:O86" si="34">B133/B15*100%</f>
        <v>0</v>
      </c>
      <c r="C86" s="7">
        <f t="shared" si="34"/>
        <v>0</v>
      </c>
      <c r="D86" s="7">
        <f t="shared" si="34"/>
        <v>0</v>
      </c>
      <c r="E86" s="7">
        <f t="shared" si="34"/>
        <v>0</v>
      </c>
      <c r="F86" s="7">
        <f t="shared" si="34"/>
        <v>0</v>
      </c>
      <c r="G86" s="7">
        <f t="shared" si="34"/>
        <v>0</v>
      </c>
      <c r="H86" s="7">
        <f t="shared" si="34"/>
        <v>0</v>
      </c>
      <c r="I86" s="7">
        <f t="shared" si="34"/>
        <v>0</v>
      </c>
      <c r="J86" s="444">
        <f t="shared" si="34"/>
        <v>0</v>
      </c>
      <c r="K86" s="7">
        <f t="shared" si="34"/>
        <v>0</v>
      </c>
      <c r="L86" s="7">
        <f t="shared" si="34"/>
        <v>0</v>
      </c>
      <c r="M86" s="7">
        <f t="shared" si="34"/>
        <v>0</v>
      </c>
      <c r="N86" s="7">
        <f t="shared" si="34"/>
        <v>0</v>
      </c>
      <c r="O86" s="12">
        <f t="shared" si="34"/>
        <v>0</v>
      </c>
      <c r="P86" s="346">
        <f t="shared" si="23"/>
        <v>0</v>
      </c>
      <c r="Q86" s="347"/>
      <c r="R86" s="347"/>
      <c r="S86" s="347"/>
      <c r="T86" s="347"/>
      <c r="U86" s="347"/>
      <c r="V86" s="24" t="s">
        <v>57</v>
      </c>
      <c r="W86" s="37" t="s">
        <v>67</v>
      </c>
      <c r="X86" s="37" t="s">
        <v>69</v>
      </c>
      <c r="Y86" s="37" t="s">
        <v>70</v>
      </c>
      <c r="Z86" s="37" t="s">
        <v>668</v>
      </c>
      <c r="AA86" s="363" t="s">
        <v>669</v>
      </c>
      <c r="AB86" s="37"/>
      <c r="AC86" s="38"/>
    </row>
    <row r="87" spans="1:29">
      <c r="A87" s="415" t="s">
        <v>494</v>
      </c>
      <c r="B87" s="331">
        <f>ROUND(AA23*B16/365,0)</f>
        <v>679452</v>
      </c>
      <c r="C87" s="332">
        <f>ROUND(AA24*C16/365,0)</f>
        <v>679452</v>
      </c>
      <c r="E87" s="332">
        <f>ROUND(AA25*E16/365,0)</f>
        <v>679452</v>
      </c>
      <c r="F87" s="332">
        <f>ROUND(AA26*F16/365,0)</f>
        <v>679452</v>
      </c>
      <c r="G87" s="332"/>
      <c r="H87" s="332">
        <f>ROUND(AA27*G16/365,0)</f>
        <v>679452</v>
      </c>
      <c r="I87" s="332"/>
      <c r="J87" s="439"/>
      <c r="K87" s="340"/>
      <c r="L87" s="340"/>
      <c r="M87" s="340"/>
      <c r="N87" s="340"/>
      <c r="O87" s="401"/>
      <c r="P87" s="346">
        <f t="shared" si="23"/>
        <v>3397260</v>
      </c>
      <c r="Q87" s="347"/>
      <c r="R87" s="347"/>
      <c r="S87" s="347"/>
      <c r="T87" s="347"/>
      <c r="U87" s="347"/>
      <c r="V87" s="49"/>
      <c r="W87" s="39"/>
      <c r="X87" s="354"/>
      <c r="Y87" s="354"/>
      <c r="Z87" s="332"/>
      <c r="AA87" s="7"/>
      <c r="AB87" s="7"/>
      <c r="AC87" s="12"/>
    </row>
    <row r="88" spans="1:29">
      <c r="A88" s="412" t="s">
        <v>536</v>
      </c>
      <c r="B88" s="331"/>
      <c r="C88" s="332"/>
      <c r="E88" s="332"/>
      <c r="F88" s="332"/>
      <c r="G88" s="332"/>
      <c r="H88" s="332">
        <f>ROUND(AA28*G16/365,0)</f>
        <v>594521</v>
      </c>
      <c r="I88" s="332"/>
      <c r="J88" s="438"/>
      <c r="K88" s="332"/>
      <c r="L88" s="332"/>
      <c r="M88" s="332"/>
      <c r="N88" s="332"/>
      <c r="O88" s="400"/>
      <c r="P88" s="346">
        <f t="shared" si="23"/>
        <v>594521</v>
      </c>
      <c r="Q88" s="347"/>
      <c r="R88" s="347"/>
      <c r="S88" s="347"/>
      <c r="T88" s="347"/>
      <c r="U88" s="347"/>
      <c r="V88" s="32"/>
      <c r="W88" s="44"/>
      <c r="X88" s="13"/>
      <c r="Y88" s="13"/>
      <c r="Z88" s="13"/>
      <c r="AA88" s="13"/>
      <c r="AB88" s="13"/>
      <c r="AC88" s="18"/>
    </row>
    <row r="89" spans="1:29">
      <c r="A89" s="412" t="s">
        <v>613</v>
      </c>
      <c r="B89" s="332">
        <f t="shared" ref="B89:O89" si="35">B134*$B$4</f>
        <v>0</v>
      </c>
      <c r="C89" s="332">
        <f t="shared" si="35"/>
        <v>0</v>
      </c>
      <c r="D89" s="332">
        <f t="shared" si="35"/>
        <v>0</v>
      </c>
      <c r="E89" s="332">
        <f t="shared" si="35"/>
        <v>0</v>
      </c>
      <c r="F89" s="332">
        <f t="shared" si="35"/>
        <v>0</v>
      </c>
      <c r="G89" s="332">
        <f t="shared" si="35"/>
        <v>0</v>
      </c>
      <c r="H89" s="332">
        <f t="shared" si="35"/>
        <v>2320500</v>
      </c>
      <c r="I89" s="332">
        <f t="shared" si="35"/>
        <v>2320500</v>
      </c>
      <c r="J89" s="438">
        <f t="shared" si="35"/>
        <v>0</v>
      </c>
      <c r="K89" s="332">
        <f t="shared" si="35"/>
        <v>0</v>
      </c>
      <c r="L89" s="332">
        <f t="shared" si="35"/>
        <v>0</v>
      </c>
      <c r="M89" s="332">
        <f t="shared" si="35"/>
        <v>0</v>
      </c>
      <c r="N89" s="332">
        <f t="shared" si="35"/>
        <v>0</v>
      </c>
      <c r="O89" s="400">
        <f t="shared" si="35"/>
        <v>0</v>
      </c>
      <c r="P89" s="355">
        <f>SUM(B89:O89)-J89</f>
        <v>4641000</v>
      </c>
      <c r="Q89" s="379"/>
      <c r="R89" s="379"/>
      <c r="S89" s="379"/>
      <c r="T89" s="379"/>
      <c r="U89" s="379"/>
      <c r="V89" s="32"/>
      <c r="W89" s="44"/>
      <c r="X89" s="13"/>
      <c r="Y89" s="13"/>
      <c r="Z89" s="13"/>
      <c r="AA89" s="13"/>
      <c r="AB89" s="13"/>
      <c r="AC89" s="18"/>
    </row>
    <row r="90" spans="1:29">
      <c r="A90" s="412" t="s">
        <v>614</v>
      </c>
      <c r="B90" s="332">
        <f t="shared" ref="B90:O90" si="36">B135*$B$4</f>
        <v>0</v>
      </c>
      <c r="C90" s="332">
        <f t="shared" si="36"/>
        <v>0</v>
      </c>
      <c r="D90" s="332">
        <f t="shared" si="36"/>
        <v>0</v>
      </c>
      <c r="E90" s="332">
        <f t="shared" si="36"/>
        <v>0</v>
      </c>
      <c r="F90" s="332">
        <f t="shared" si="36"/>
        <v>0</v>
      </c>
      <c r="G90" s="332">
        <f t="shared" si="36"/>
        <v>0</v>
      </c>
      <c r="H90" s="332">
        <f t="shared" si="36"/>
        <v>4641000</v>
      </c>
      <c r="I90" s="332">
        <f t="shared" si="36"/>
        <v>4641000</v>
      </c>
      <c r="J90" s="438">
        <f t="shared" si="36"/>
        <v>0</v>
      </c>
      <c r="K90" s="332">
        <f t="shared" si="36"/>
        <v>0</v>
      </c>
      <c r="L90" s="332">
        <f t="shared" si="36"/>
        <v>0</v>
      </c>
      <c r="M90" s="332">
        <f t="shared" si="36"/>
        <v>0</v>
      </c>
      <c r="N90" s="332">
        <f t="shared" si="36"/>
        <v>0</v>
      </c>
      <c r="O90" s="400">
        <f t="shared" si="36"/>
        <v>0</v>
      </c>
      <c r="P90" s="355">
        <f>SUM(B90:O90)-J90</f>
        <v>9282000</v>
      </c>
      <c r="Q90" s="379"/>
      <c r="R90" s="379"/>
      <c r="S90" s="379"/>
      <c r="T90" s="379"/>
      <c r="U90" s="379"/>
      <c r="V90" s="32"/>
      <c r="W90" s="44"/>
      <c r="X90" s="13"/>
      <c r="Y90" s="13"/>
      <c r="Z90" s="13"/>
      <c r="AA90" s="13"/>
      <c r="AB90" s="13"/>
      <c r="AC90" s="18"/>
    </row>
    <row r="91" spans="1:29">
      <c r="A91" s="412"/>
      <c r="B91" s="331"/>
      <c r="C91" s="332"/>
      <c r="D91" s="332"/>
      <c r="E91" s="340"/>
      <c r="F91" s="332"/>
      <c r="G91" s="332"/>
      <c r="H91" s="332"/>
      <c r="I91" s="332"/>
      <c r="J91" s="439"/>
      <c r="K91" s="340"/>
      <c r="L91" s="340"/>
      <c r="M91" s="340"/>
      <c r="N91" s="340"/>
      <c r="O91" s="401"/>
      <c r="P91" s="346"/>
      <c r="Q91" s="347"/>
      <c r="R91" s="347"/>
      <c r="S91" s="347"/>
      <c r="T91" s="347"/>
      <c r="U91" s="347"/>
      <c r="V91" s="32"/>
      <c r="W91" s="44"/>
      <c r="X91" s="13"/>
      <c r="Y91" s="13"/>
      <c r="Z91" s="13"/>
      <c r="AA91" s="13"/>
      <c r="AB91" s="13"/>
      <c r="AC91" s="18"/>
    </row>
    <row r="92" spans="1:29">
      <c r="A92" s="445" t="s">
        <v>579</v>
      </c>
      <c r="B92" s="332">
        <f t="shared" ref="B92:O92" si="37">SUM(B24:B36)</f>
        <v>16800000</v>
      </c>
      <c r="C92" s="332">
        <f t="shared" si="37"/>
        <v>16880000</v>
      </c>
      <c r="D92" s="332">
        <f t="shared" si="37"/>
        <v>14579999</v>
      </c>
      <c r="E92" s="332">
        <f t="shared" si="37"/>
        <v>13800000</v>
      </c>
      <c r="F92" s="332">
        <f t="shared" si="37"/>
        <v>18800000</v>
      </c>
      <c r="G92" s="332">
        <f t="shared" si="37"/>
        <v>23205000</v>
      </c>
      <c r="H92" s="332">
        <f t="shared" si="37"/>
        <v>154313250</v>
      </c>
      <c r="I92" s="332">
        <f t="shared" si="37"/>
        <v>44190390.862100005</v>
      </c>
      <c r="J92" s="438">
        <f t="shared" si="37"/>
        <v>8478262</v>
      </c>
      <c r="K92" s="332">
        <f t="shared" si="37"/>
        <v>15130000</v>
      </c>
      <c r="L92" s="332">
        <f t="shared" si="37"/>
        <v>90000000</v>
      </c>
      <c r="M92" s="332">
        <f t="shared" si="37"/>
        <v>7500000</v>
      </c>
      <c r="N92" s="332">
        <f t="shared" si="37"/>
        <v>9000000</v>
      </c>
      <c r="O92" s="332">
        <f t="shared" si="37"/>
        <v>4000000</v>
      </c>
      <c r="P92" s="345">
        <f t="shared" si="23"/>
        <v>428198639.86210001</v>
      </c>
      <c r="Q92" s="347"/>
      <c r="R92" s="347"/>
      <c r="S92" s="347"/>
      <c r="T92" s="347"/>
      <c r="U92" s="347"/>
    </row>
    <row r="93" spans="1:29">
      <c r="A93" s="412" t="s">
        <v>1269</v>
      </c>
      <c r="B93" s="331">
        <f t="shared" ref="B93:O93" si="38">SUM(B24:B31,B39:B40)</f>
        <v>15201270</v>
      </c>
      <c r="C93" s="332">
        <f t="shared" si="38"/>
        <v>14551270</v>
      </c>
      <c r="D93" s="332">
        <f t="shared" si="38"/>
        <v>12599999</v>
      </c>
      <c r="E93" s="332">
        <f t="shared" si="38"/>
        <v>12301906</v>
      </c>
      <c r="F93" s="332">
        <f t="shared" si="38"/>
        <v>17000000</v>
      </c>
      <c r="G93" s="332">
        <f t="shared" si="38"/>
        <v>23205000</v>
      </c>
      <c r="H93" s="332">
        <f t="shared" si="38"/>
        <v>169197034</v>
      </c>
      <c r="I93" s="332">
        <f t="shared" si="38"/>
        <v>54632640.862100005</v>
      </c>
      <c r="J93" s="438">
        <f t="shared" si="38"/>
        <v>8478262</v>
      </c>
      <c r="K93" s="332">
        <f t="shared" si="38"/>
        <v>10400000</v>
      </c>
      <c r="L93" s="332">
        <f t="shared" si="38"/>
        <v>90000000</v>
      </c>
      <c r="M93" s="332">
        <f t="shared" si="38"/>
        <v>7500000</v>
      </c>
      <c r="N93" s="332">
        <f t="shared" si="38"/>
        <v>9000000</v>
      </c>
      <c r="O93" s="400">
        <f t="shared" si="38"/>
        <v>4000000</v>
      </c>
      <c r="P93" s="346">
        <f t="shared" si="23"/>
        <v>439589119.86210001</v>
      </c>
      <c r="Q93" s="348"/>
      <c r="R93" s="348"/>
      <c r="S93" s="348"/>
      <c r="T93" s="348"/>
      <c r="U93" s="348"/>
    </row>
    <row r="94" spans="1:29">
      <c r="A94" s="412" t="s">
        <v>581</v>
      </c>
      <c r="B94" s="332">
        <f t="shared" ref="B94:O94" si="39">MIN(IF(OR(B18="A",B18="B"),SUM(B121,B123,B124,B126,B127),B137),27800000)</f>
        <v>10000000</v>
      </c>
      <c r="C94" s="332">
        <f t="shared" si="39"/>
        <v>9350000</v>
      </c>
      <c r="D94" s="332">
        <f t="shared" si="39"/>
        <v>11100000</v>
      </c>
      <c r="E94" s="332">
        <f t="shared" si="39"/>
        <v>9000000</v>
      </c>
      <c r="F94" s="332">
        <f t="shared" si="39"/>
        <v>14000000</v>
      </c>
      <c r="G94" s="332">
        <f t="shared" si="39"/>
        <v>0</v>
      </c>
      <c r="H94" s="592">
        <f t="shared" si="39"/>
        <v>27800000</v>
      </c>
      <c r="I94" s="592">
        <f t="shared" si="39"/>
        <v>27800000</v>
      </c>
      <c r="J94" s="438">
        <f t="shared" si="39"/>
        <v>27800000</v>
      </c>
      <c r="K94" s="332">
        <f t="shared" si="39"/>
        <v>10400000</v>
      </c>
      <c r="L94" s="332">
        <f t="shared" si="39"/>
        <v>27800000</v>
      </c>
      <c r="M94" s="332">
        <f t="shared" si="39"/>
        <v>7500000</v>
      </c>
      <c r="N94" s="332">
        <f t="shared" si="39"/>
        <v>9000000</v>
      </c>
      <c r="O94" s="400">
        <f t="shared" si="39"/>
        <v>0</v>
      </c>
      <c r="P94" s="346">
        <f t="shared" si="23"/>
        <v>163750000</v>
      </c>
      <c r="Q94" s="347"/>
      <c r="R94" s="347"/>
      <c r="S94" s="347"/>
      <c r="T94" s="347"/>
      <c r="U94" s="347"/>
    </row>
    <row r="95" spans="1:29">
      <c r="A95" s="412" t="s">
        <v>1271</v>
      </c>
      <c r="B95" s="332">
        <f>IF(OR(B18="A",B18="B"),SUM(B121,B123,B124,B126,B127),B138)</f>
        <v>10000000</v>
      </c>
      <c r="C95" s="332">
        <f t="shared" ref="C95:O95" si="40">IF(OR(C18="A",C18="B"),SUM(C121,C123,C124,C126,C127),C138)</f>
        <v>9350000</v>
      </c>
      <c r="D95" s="332">
        <f t="shared" si="40"/>
        <v>11100000</v>
      </c>
      <c r="E95" s="332">
        <f t="shared" si="40"/>
        <v>9000000</v>
      </c>
      <c r="F95" s="332">
        <f t="shared" si="40"/>
        <v>14000000</v>
      </c>
      <c r="G95" s="332">
        <f t="shared" si="40"/>
        <v>0</v>
      </c>
      <c r="H95" s="332">
        <f t="shared" si="40"/>
        <v>156275000</v>
      </c>
      <c r="I95" s="332">
        <f t="shared" si="40"/>
        <v>94822500</v>
      </c>
      <c r="J95" s="438">
        <f t="shared" si="40"/>
        <v>65000000</v>
      </c>
      <c r="K95" s="332">
        <f t="shared" si="40"/>
        <v>10400000</v>
      </c>
      <c r="L95" s="332">
        <f t="shared" si="40"/>
        <v>90000000</v>
      </c>
      <c r="M95" s="332">
        <f t="shared" si="40"/>
        <v>7500000</v>
      </c>
      <c r="N95" s="332">
        <f t="shared" si="40"/>
        <v>9000000</v>
      </c>
      <c r="O95" s="400">
        <f t="shared" si="40"/>
        <v>0</v>
      </c>
      <c r="P95" s="346">
        <f t="shared" si="23"/>
        <v>421447500</v>
      </c>
      <c r="Q95" s="347"/>
      <c r="R95" s="347"/>
      <c r="S95" s="347"/>
      <c r="T95" s="347"/>
      <c r="U95" s="347"/>
    </row>
    <row r="96" spans="1:29">
      <c r="A96" s="412" t="s">
        <v>586</v>
      </c>
      <c r="B96" s="332">
        <f t="shared" ref="B96:O96" si="41">IF(OR(B18="A",B18="B"),SUM(B136,B123,B124,B128,B129,B127),SUM(B136,B123*$B$4,B124*$B$4,B127*$B$4,))</f>
        <v>10300000</v>
      </c>
      <c r="C96" s="332">
        <f t="shared" si="41"/>
        <v>10380000</v>
      </c>
      <c r="D96" s="332">
        <f t="shared" si="41"/>
        <v>13630000</v>
      </c>
      <c r="E96" s="332">
        <f t="shared" si="41"/>
        <v>10800000</v>
      </c>
      <c r="F96" s="332">
        <f t="shared" si="41"/>
        <v>15800000</v>
      </c>
      <c r="G96" s="332">
        <f t="shared" si="41"/>
        <v>0</v>
      </c>
      <c r="H96" s="332">
        <f t="shared" si="41"/>
        <v>151992750</v>
      </c>
      <c r="I96" s="332">
        <f t="shared" si="41"/>
        <v>93632175</v>
      </c>
      <c r="J96" s="438">
        <f t="shared" si="41"/>
        <v>65000000</v>
      </c>
      <c r="K96" s="332">
        <f t="shared" si="41"/>
        <v>11130000</v>
      </c>
      <c r="L96" s="332">
        <f t="shared" si="41"/>
        <v>90000000</v>
      </c>
      <c r="M96" s="332">
        <f t="shared" si="41"/>
        <v>7500000</v>
      </c>
      <c r="N96" s="332">
        <f t="shared" si="41"/>
        <v>9000000</v>
      </c>
      <c r="O96" s="400">
        <f t="shared" si="41"/>
        <v>0</v>
      </c>
      <c r="P96" s="346">
        <f t="shared" si="23"/>
        <v>424164925</v>
      </c>
      <c r="Q96" s="347"/>
      <c r="R96" s="347"/>
      <c r="S96" s="347"/>
      <c r="T96" s="347"/>
      <c r="U96" s="347"/>
    </row>
    <row r="97" spans="1:21">
      <c r="A97" s="412" t="s">
        <v>1262</v>
      </c>
      <c r="B97" s="332">
        <f>B94</f>
        <v>10000000</v>
      </c>
      <c r="C97" s="332">
        <f t="shared" ref="C97:O97" si="42">C94</f>
        <v>9350000</v>
      </c>
      <c r="D97" s="332">
        <f t="shared" si="42"/>
        <v>11100000</v>
      </c>
      <c r="E97" s="332">
        <f t="shared" si="42"/>
        <v>9000000</v>
      </c>
      <c r="F97" s="332">
        <f t="shared" si="42"/>
        <v>14000000</v>
      </c>
      <c r="G97" s="332">
        <f t="shared" si="42"/>
        <v>0</v>
      </c>
      <c r="H97" s="332">
        <f t="shared" si="42"/>
        <v>27800000</v>
      </c>
      <c r="I97" s="332">
        <f t="shared" si="42"/>
        <v>27800000</v>
      </c>
      <c r="J97" s="438">
        <f t="shared" si="42"/>
        <v>27800000</v>
      </c>
      <c r="K97" s="332">
        <f t="shared" si="42"/>
        <v>10400000</v>
      </c>
      <c r="L97" s="332">
        <f t="shared" si="42"/>
        <v>27800000</v>
      </c>
      <c r="M97" s="332">
        <f t="shared" si="42"/>
        <v>7500000</v>
      </c>
      <c r="N97" s="332">
        <f t="shared" si="42"/>
        <v>9000000</v>
      </c>
      <c r="O97" s="400">
        <f t="shared" si="42"/>
        <v>0</v>
      </c>
      <c r="P97" s="346">
        <f t="shared" si="23"/>
        <v>163750000</v>
      </c>
      <c r="Q97" s="347"/>
      <c r="R97" s="347"/>
      <c r="S97" s="347"/>
      <c r="T97" s="347"/>
      <c r="U97" s="347"/>
    </row>
    <row r="98" spans="1:21">
      <c r="A98" s="412" t="s">
        <v>1269</v>
      </c>
      <c r="B98" s="332">
        <f t="shared" ref="B98:O98" si="43">B93</f>
        <v>15201270</v>
      </c>
      <c r="C98" s="332">
        <f t="shared" si="43"/>
        <v>14551270</v>
      </c>
      <c r="D98" s="332">
        <f t="shared" si="43"/>
        <v>12599999</v>
      </c>
      <c r="E98" s="332">
        <f t="shared" si="43"/>
        <v>12301906</v>
      </c>
      <c r="F98" s="332">
        <f t="shared" si="43"/>
        <v>17000000</v>
      </c>
      <c r="G98" s="332">
        <f t="shared" si="43"/>
        <v>23205000</v>
      </c>
      <c r="H98" s="332">
        <f t="shared" si="43"/>
        <v>169197034</v>
      </c>
      <c r="I98" s="332">
        <f t="shared" si="43"/>
        <v>54632640.862100005</v>
      </c>
      <c r="J98" s="438">
        <f t="shared" si="43"/>
        <v>8478262</v>
      </c>
      <c r="K98" s="332">
        <f t="shared" si="43"/>
        <v>10400000</v>
      </c>
      <c r="L98" s="332">
        <f t="shared" si="43"/>
        <v>90000000</v>
      </c>
      <c r="M98" s="332">
        <f t="shared" si="43"/>
        <v>7500000</v>
      </c>
      <c r="N98" s="332">
        <f t="shared" si="43"/>
        <v>9000000</v>
      </c>
      <c r="O98" s="400">
        <f t="shared" si="43"/>
        <v>4000000</v>
      </c>
      <c r="P98" s="346">
        <f t="shared" si="23"/>
        <v>439589119.86210001</v>
      </c>
      <c r="Q98" s="347"/>
      <c r="R98" s="347"/>
      <c r="S98" s="347"/>
      <c r="T98" s="347"/>
      <c r="U98" s="347"/>
    </row>
    <row r="99" spans="1:21">
      <c r="A99" s="412" t="s">
        <v>607</v>
      </c>
      <c r="B99" s="332">
        <f t="shared" ref="B99:O99" si="44">SUM(B46:B48)</f>
        <v>1050000</v>
      </c>
      <c r="C99" s="332">
        <f t="shared" si="44"/>
        <v>981750</v>
      </c>
      <c r="D99" s="332">
        <f t="shared" si="44"/>
        <v>277500</v>
      </c>
      <c r="E99" s="332">
        <f t="shared" si="44"/>
        <v>945000</v>
      </c>
      <c r="F99" s="332">
        <f t="shared" si="44"/>
        <v>0</v>
      </c>
      <c r="G99" s="332">
        <f t="shared" si="44"/>
        <v>0</v>
      </c>
      <c r="H99" s="332">
        <f t="shared" si="44"/>
        <v>417000</v>
      </c>
      <c r="I99" s="332">
        <f t="shared" si="44"/>
        <v>0</v>
      </c>
      <c r="J99" s="438">
        <f t="shared" si="44"/>
        <v>0</v>
      </c>
      <c r="K99" s="332">
        <f t="shared" si="44"/>
        <v>0</v>
      </c>
      <c r="L99" s="332">
        <f t="shared" si="44"/>
        <v>3477000</v>
      </c>
      <c r="M99" s="332">
        <f t="shared" si="44"/>
        <v>0</v>
      </c>
      <c r="N99" s="332">
        <f t="shared" si="44"/>
        <v>0</v>
      </c>
      <c r="O99" s="400">
        <f t="shared" si="44"/>
        <v>0</v>
      </c>
      <c r="P99" s="346">
        <f t="shared" si="23"/>
        <v>7148250</v>
      </c>
      <c r="Q99" s="347"/>
      <c r="R99" s="347"/>
      <c r="S99" s="347"/>
      <c r="T99" s="347"/>
      <c r="U99" s="347"/>
    </row>
    <row r="100" spans="1:21">
      <c r="A100" s="445" t="s">
        <v>1270</v>
      </c>
      <c r="B100" s="332">
        <f>B98-B99</f>
        <v>14151270</v>
      </c>
      <c r="C100" s="332">
        <f t="shared" ref="C100:O100" si="45">C98-C99</f>
        <v>13569520</v>
      </c>
      <c r="D100" s="332">
        <f t="shared" si="45"/>
        <v>12322499</v>
      </c>
      <c r="E100" s="332">
        <f t="shared" si="45"/>
        <v>11356906</v>
      </c>
      <c r="F100" s="332">
        <f t="shared" si="45"/>
        <v>17000000</v>
      </c>
      <c r="G100" s="332">
        <f t="shared" si="45"/>
        <v>23205000</v>
      </c>
      <c r="H100" s="332">
        <f t="shared" si="45"/>
        <v>168780034</v>
      </c>
      <c r="I100" s="332">
        <f t="shared" si="45"/>
        <v>54632640.862100005</v>
      </c>
      <c r="J100" s="438">
        <f t="shared" si="45"/>
        <v>8478262</v>
      </c>
      <c r="K100" s="332">
        <f t="shared" si="45"/>
        <v>10400000</v>
      </c>
      <c r="L100" s="332">
        <f t="shared" si="45"/>
        <v>86523000</v>
      </c>
      <c r="M100" s="332">
        <f t="shared" si="45"/>
        <v>7500000</v>
      </c>
      <c r="N100" s="332">
        <f t="shared" si="45"/>
        <v>9000000</v>
      </c>
      <c r="O100" s="400">
        <f t="shared" si="45"/>
        <v>4000000</v>
      </c>
      <c r="P100" s="346">
        <f t="shared" si="23"/>
        <v>432440869.86210001</v>
      </c>
      <c r="Q100" s="347"/>
      <c r="R100" s="347"/>
      <c r="S100" s="347"/>
      <c r="T100" s="347"/>
      <c r="U100" s="347"/>
    </row>
    <row r="101" spans="1:21">
      <c r="A101" s="445" t="s">
        <v>903</v>
      </c>
      <c r="B101" s="332">
        <f t="shared" ref="B101:O101" si="46">IF(OR(B18="A",B18="C"),MAX(B100-B21-B20*B19,0),B100)</f>
        <v>1551270</v>
      </c>
      <c r="C101" s="332">
        <f t="shared" si="46"/>
        <v>0</v>
      </c>
      <c r="D101" s="332">
        <f t="shared" si="46"/>
        <v>0</v>
      </c>
      <c r="E101" s="332">
        <f t="shared" si="46"/>
        <v>11356906</v>
      </c>
      <c r="F101" s="332">
        <f t="shared" si="46"/>
        <v>17000000</v>
      </c>
      <c r="G101" s="332">
        <f t="shared" si="46"/>
        <v>14205000</v>
      </c>
      <c r="H101" s="332">
        <f t="shared" si="46"/>
        <v>168780034</v>
      </c>
      <c r="I101" s="332">
        <f t="shared" si="46"/>
        <v>54632640.862100005</v>
      </c>
      <c r="J101" s="438">
        <f t="shared" si="46"/>
        <v>0</v>
      </c>
      <c r="K101" s="332">
        <f t="shared" si="46"/>
        <v>1400000</v>
      </c>
      <c r="L101" s="332">
        <f t="shared" si="46"/>
        <v>77523000</v>
      </c>
      <c r="M101" s="332">
        <f t="shared" si="46"/>
        <v>0</v>
      </c>
      <c r="N101" s="332">
        <f t="shared" si="46"/>
        <v>0</v>
      </c>
      <c r="O101" s="400">
        <f t="shared" si="46"/>
        <v>4000000</v>
      </c>
      <c r="P101" s="346">
        <f t="shared" si="23"/>
        <v>350448850.86210001</v>
      </c>
      <c r="Q101" s="347"/>
      <c r="R101" s="347"/>
      <c r="S101" s="347"/>
      <c r="T101" s="347"/>
      <c r="U101" s="347"/>
    </row>
    <row r="102" spans="1:21">
      <c r="A102" s="412" t="s">
        <v>487</v>
      </c>
      <c r="B102" s="332">
        <f>IF(OR(B18="A",B18="C"),ROUND(MAX(B101*{5;10;15;20;25;30;35}%-{0;0.25;0.75;1.65;3.25;5.85;9.85}*1000000,0),0),IF(B18="B",IF(B98&lt;2000000,0,ROUND(B98*10%,0)),ROUND(B98*20%,0)))</f>
        <v>77564</v>
      </c>
      <c r="C102" s="332">
        <f>IF(OR(C18="A",C18="C"),ROUND(MAX(C101*{5;10;15;20;25;30;35}%-{0;0.25;0.75;1.65;3.25;5.85;9.85}*1000000,0),0),IF(C18="B",IF(C98&lt;2000000,0,ROUND(C98*10%,0)),ROUND(C98*20%,0)))</f>
        <v>0</v>
      </c>
      <c r="D102" s="332">
        <f>IF(OR(D18="A",D18="C"),ROUND(MAX(D101*{5;10;15;20;25;30;35}%-{0;0.25;0.75;1.65;3.25;5.85;9.85}*1000000,0),0),IF(D18="B",IF(D98&lt;2000000,0,ROUND(D98*10%,0)),ROUND(D98*20%,0)))</f>
        <v>0</v>
      </c>
      <c r="E102" s="332">
        <f>IF(OR(E18="A",E18="C"),ROUND(MAX(E101*{5;10;15;20;25;30;35}%-{0;0.25;0.75;1.65;3.25;5.85;9.85}*1000000,0),0),IF(E18="B",IF(E98&lt;2000000,0,ROUND(E98*10%,0)),ROUND(E98*20%,0)))</f>
        <v>1230191</v>
      </c>
      <c r="F102" s="332">
        <f>IF(OR(F18="A",F18="C"),ROUND(MAX(F101*{5;10;15;20;25;30;35}%-{0;0.25;0.75;1.65;3.25;5.85;9.85}*1000000,0),0),IF(F18="B",IF(F98&lt;2000000,0,ROUND(F98*10%,0)),ROUND(F98*20%,0)))</f>
        <v>1700000</v>
      </c>
      <c r="G102" s="332">
        <f>IF(OR(G18="A",G18="C"),ROUND(MAX(G101*{5;10;15;20;25;30;35}%-{0;0.25;0.75;1.65;3.25;5.85;9.85}*1000000,0),0),IF(G18="B",IF(G98&lt;2000000,0,ROUND(G98*10%,0)),ROUND(G98*20%,0)))</f>
        <v>1380750</v>
      </c>
      <c r="H102" s="332">
        <f>IF(OR(H18="A",H18="C"),ROUND(MAX(H101*{5;10;15;20;25;30;35}%-{0;0.25;0.75;1.65;3.25;5.85;9.85}*1000000,0),0),IF(H18="B",IF(H98&lt;2000000,0,ROUND(H98*10%,0)),ROUND(H98*20%,0)))</f>
        <v>33839407</v>
      </c>
      <c r="I102" s="332">
        <f>IF(OR(I18="A",I18="C"),ROUND(MAX(I101*{5;10;15;20;25;30;35}%-{0;0.25;0.75;1.65;3.25;5.85;9.85}*1000000,0),0),IF(I18="B",IF(I98&lt;2000000,0,ROUND(I98*10%,0)),ROUND(I98*20%,0)))</f>
        <v>10926528</v>
      </c>
      <c r="J102" s="438">
        <f>IF(OR(J18="A",J18="C"),ROUND(MAX(J101*{5;10;15;20;25;30;35}%-{0;0.25;0.75;1.65;3.25;5.85;9.85}*1000000,0),0),IF(J18="B",IF(J98&lt;2000000,0,ROUND(J98*10%,0)),ROUND(J98*20%,0)))</f>
        <v>0</v>
      </c>
      <c r="K102" s="332">
        <f>IF(OR(K18="A",K18="C"),ROUND(MAX(K101*{5;10;15;20;25;30;35}%-{0;0.25;0.75;1.65;3.25;5.85;9.85}*1000000,0),0),IF(K18="B",IF(K98&lt;2000000,0,ROUND(K98*10%,0)),ROUND(K98*20%,0)))</f>
        <v>70000</v>
      </c>
      <c r="L102" s="332">
        <f>IF(OR(L18="A",L18="C"),ROUND(MAX(L101*{5;10;15;20;25;30;35}%-{0;0.25;0.75;1.65;3.25;5.85;9.85}*1000000,0),0),IF(L18="B",IF(L98&lt;2000000,0,ROUND(L98*10%,0)),ROUND(L98*20%,0)))</f>
        <v>17406900</v>
      </c>
      <c r="M102" s="332">
        <f>IF(OR(M18="A",M18="C"),ROUND(MAX(M101*{5;10;15;20;25;30;35}%-{0;0.25;0.75;1.65;3.25;5.85;9.85}*1000000,0),0),IF(M18="B",IF(M98&lt;2000000,0,ROUND(M98*10%,0)),ROUND(M98*20%,0)))</f>
        <v>0</v>
      </c>
      <c r="N102" s="332">
        <f>IF(OR(N18="A",N18="C"),ROUND(MAX(N101*{5;10;15;20;25;30;35}%-{0;0.25;0.75;1.65;3.25;5.85;9.85}*1000000,0),0),IF(N18="B",IF(N98&lt;2000000,0,ROUND(N98*10%,0)),ROUND(N98*20%,0)))</f>
        <v>0</v>
      </c>
      <c r="O102" s="400">
        <f>IF(OR(O18="A",O18="C"),ROUND(MAX(O101*{5;10;15;20;25;30;35}%-{0;0.25;0.75;1.65;3.25;5.85;9.85}*1000000,0),0),IF(O18="B",IF(O98&lt;2000000,0,ROUND(O98*10%,0)),ROUND(O98*20%,0)))</f>
        <v>400000</v>
      </c>
      <c r="P102" s="346">
        <f t="shared" si="23"/>
        <v>67031340</v>
      </c>
      <c r="Q102" s="347"/>
      <c r="R102" s="347"/>
      <c r="S102" s="347"/>
      <c r="T102" s="347"/>
      <c r="U102" s="347"/>
    </row>
    <row r="103" spans="1:21">
      <c r="A103" s="445" t="s">
        <v>916</v>
      </c>
      <c r="B103" s="332">
        <f>B98</f>
        <v>15201270</v>
      </c>
      <c r="C103" s="332">
        <f t="shared" ref="C103:O103" si="47">C98</f>
        <v>14551270</v>
      </c>
      <c r="D103" s="332">
        <f t="shared" si="47"/>
        <v>12599999</v>
      </c>
      <c r="E103" s="332">
        <f t="shared" si="47"/>
        <v>12301906</v>
      </c>
      <c r="F103" s="332">
        <f t="shared" si="47"/>
        <v>17000000</v>
      </c>
      <c r="G103" s="332">
        <f t="shared" si="47"/>
        <v>23205000</v>
      </c>
      <c r="H103" s="332">
        <f t="shared" si="47"/>
        <v>169197034</v>
      </c>
      <c r="I103" s="332">
        <f t="shared" si="47"/>
        <v>54632640.862100005</v>
      </c>
      <c r="J103" s="438"/>
      <c r="K103" s="332">
        <f t="shared" si="47"/>
        <v>10400000</v>
      </c>
      <c r="L103" s="332">
        <f t="shared" si="47"/>
        <v>90000000</v>
      </c>
      <c r="M103" s="332">
        <f t="shared" si="47"/>
        <v>7500000</v>
      </c>
      <c r="N103" s="332">
        <f t="shared" si="47"/>
        <v>9000000</v>
      </c>
      <c r="O103" s="400">
        <f t="shared" si="47"/>
        <v>4000000</v>
      </c>
      <c r="P103" s="346">
        <f t="shared" si="23"/>
        <v>439589119.86210001</v>
      </c>
      <c r="Q103" s="347"/>
      <c r="R103" s="347"/>
      <c r="S103" s="347"/>
      <c r="T103" s="347"/>
      <c r="U103" s="347"/>
    </row>
    <row r="104" spans="1:21">
      <c r="A104" s="445" t="s">
        <v>488</v>
      </c>
      <c r="B104" s="332">
        <f t="shared" ref="B104:O104" si="48">B102</f>
        <v>77564</v>
      </c>
      <c r="C104" s="332">
        <f t="shared" si="48"/>
        <v>0</v>
      </c>
      <c r="D104" s="332">
        <f t="shared" si="48"/>
        <v>0</v>
      </c>
      <c r="E104" s="332">
        <f t="shared" si="48"/>
        <v>1230191</v>
      </c>
      <c r="F104" s="332">
        <f t="shared" si="48"/>
        <v>1700000</v>
      </c>
      <c r="G104" s="332">
        <f t="shared" si="48"/>
        <v>1380750</v>
      </c>
      <c r="H104" s="332">
        <f t="shared" si="48"/>
        <v>33839407</v>
      </c>
      <c r="I104" s="332">
        <f t="shared" si="48"/>
        <v>10926528</v>
      </c>
      <c r="J104" s="438">
        <f t="shared" si="48"/>
        <v>0</v>
      </c>
      <c r="K104" s="332">
        <f t="shared" si="48"/>
        <v>70000</v>
      </c>
      <c r="L104" s="332">
        <f t="shared" si="48"/>
        <v>17406900</v>
      </c>
      <c r="M104" s="332">
        <f t="shared" si="48"/>
        <v>0</v>
      </c>
      <c r="N104" s="332">
        <f t="shared" si="48"/>
        <v>0</v>
      </c>
      <c r="O104" s="400">
        <f t="shared" si="48"/>
        <v>400000</v>
      </c>
      <c r="P104" s="346">
        <f t="shared" si="23"/>
        <v>67031340</v>
      </c>
      <c r="Q104" s="347"/>
      <c r="R104" s="347"/>
      <c r="S104" s="347"/>
      <c r="T104" s="347"/>
      <c r="U104" s="347"/>
    </row>
    <row r="105" spans="1:21">
      <c r="A105" s="445" t="s">
        <v>489</v>
      </c>
      <c r="B105" s="332">
        <f t="shared" ref="B105:O105" si="49">B99</f>
        <v>1050000</v>
      </c>
      <c r="C105" s="332">
        <f t="shared" si="49"/>
        <v>981750</v>
      </c>
      <c r="D105" s="332">
        <f t="shared" si="49"/>
        <v>277500</v>
      </c>
      <c r="E105" s="332">
        <f t="shared" si="49"/>
        <v>945000</v>
      </c>
      <c r="F105" s="332">
        <f t="shared" si="49"/>
        <v>0</v>
      </c>
      <c r="G105" s="332">
        <f t="shared" si="49"/>
        <v>0</v>
      </c>
      <c r="H105" s="332">
        <f t="shared" si="49"/>
        <v>417000</v>
      </c>
      <c r="I105" s="332">
        <f t="shared" si="49"/>
        <v>0</v>
      </c>
      <c r="J105" s="438">
        <f t="shared" si="49"/>
        <v>0</v>
      </c>
      <c r="K105" s="332">
        <f t="shared" si="49"/>
        <v>0</v>
      </c>
      <c r="L105" s="332">
        <f t="shared" si="49"/>
        <v>3477000</v>
      </c>
      <c r="M105" s="332">
        <f t="shared" si="49"/>
        <v>0</v>
      </c>
      <c r="N105" s="332">
        <f t="shared" si="49"/>
        <v>0</v>
      </c>
      <c r="O105" s="400">
        <f t="shared" si="49"/>
        <v>0</v>
      </c>
      <c r="P105" s="346">
        <f t="shared" si="23"/>
        <v>7148250</v>
      </c>
      <c r="Q105" s="347"/>
      <c r="R105" s="347"/>
      <c r="S105" s="347"/>
      <c r="T105" s="347"/>
      <c r="U105" s="347"/>
    </row>
    <row r="106" spans="1:21">
      <c r="A106" s="412"/>
      <c r="B106" s="14"/>
      <c r="C106" s="466"/>
      <c r="D106" s="7"/>
      <c r="E106" s="322"/>
      <c r="F106" s="7"/>
      <c r="G106" s="7"/>
      <c r="H106" s="7"/>
      <c r="I106" s="7"/>
      <c r="J106" s="436"/>
      <c r="K106" s="322"/>
      <c r="L106" s="322"/>
      <c r="M106" s="322"/>
      <c r="N106" s="322"/>
      <c r="O106" s="381"/>
      <c r="P106" s="346"/>
      <c r="Q106" s="347"/>
      <c r="R106" s="347"/>
      <c r="S106" s="347"/>
      <c r="T106" s="347"/>
      <c r="U106" s="347"/>
    </row>
    <row r="107" spans="1:21" ht="15.6">
      <c r="A107" s="411" t="s">
        <v>825</v>
      </c>
      <c r="B107" s="14"/>
      <c r="C107" s="7"/>
      <c r="D107" s="7"/>
      <c r="E107" s="322"/>
      <c r="F107" s="7"/>
      <c r="G107" s="7"/>
      <c r="H107" s="7"/>
      <c r="I107" s="7"/>
      <c r="J107" s="436"/>
      <c r="K107" s="322"/>
      <c r="L107" s="322"/>
      <c r="M107" s="322"/>
      <c r="N107" s="322"/>
      <c r="O107" s="381"/>
      <c r="P107" s="346"/>
      <c r="Q107" s="347"/>
      <c r="R107" s="347"/>
      <c r="S107" s="347"/>
      <c r="T107" s="347"/>
      <c r="U107" s="347"/>
    </row>
    <row r="108" spans="1:21">
      <c r="A108" s="445" t="s">
        <v>432</v>
      </c>
      <c r="B108" s="573">
        <f>'New Hire'!C65</f>
        <v>160</v>
      </c>
      <c r="C108" s="573">
        <f>'New Hire'!D65</f>
        <v>72</v>
      </c>
      <c r="D108" s="573">
        <f>'New Hire'!E65</f>
        <v>156.93</v>
      </c>
      <c r="E108" s="573">
        <f>'New Hire'!F65</f>
        <v>160</v>
      </c>
      <c r="F108" s="573">
        <f>'New Hire'!G65</f>
        <v>128</v>
      </c>
      <c r="G108" s="573">
        <f>'New Hire'!H65</f>
        <v>0</v>
      </c>
      <c r="H108" s="573">
        <f>'New Hire'!I65</f>
        <v>80</v>
      </c>
      <c r="I108" s="573">
        <f>'New Hire'!J65</f>
        <v>0</v>
      </c>
      <c r="J108" s="574">
        <f>'New Hire'!K65</f>
        <v>44.32</v>
      </c>
      <c r="K108" s="573">
        <f>'New Hire'!L65</f>
        <v>160</v>
      </c>
      <c r="L108" s="573">
        <f>'New Hire'!M65</f>
        <v>160</v>
      </c>
      <c r="M108" s="573">
        <f>'New Hire'!N65</f>
        <v>160</v>
      </c>
      <c r="N108" s="573">
        <f>'New Hire'!O65</f>
        <v>160</v>
      </c>
      <c r="O108" s="575">
        <f>'New Hire'!P65</f>
        <v>0</v>
      </c>
      <c r="P108" s="478">
        <f t="shared" si="23"/>
        <v>1396.93</v>
      </c>
      <c r="Q108" s="347"/>
      <c r="R108" s="347"/>
      <c r="S108" s="347"/>
      <c r="T108" s="347"/>
      <c r="U108" s="347"/>
    </row>
    <row r="109" spans="1:21">
      <c r="A109" s="445" t="s">
        <v>433</v>
      </c>
      <c r="B109" s="572">
        <f>'New Hire'!C69</f>
        <v>80</v>
      </c>
      <c r="C109" s="572">
        <f>'New Hire'!D69</f>
        <v>36</v>
      </c>
      <c r="D109" s="572">
        <f>'New Hire'!E69</f>
        <v>78.47</v>
      </c>
      <c r="E109" s="572">
        <f>'New Hire'!F69</f>
        <v>80</v>
      </c>
      <c r="F109" s="572">
        <f>'New Hire'!G69</f>
        <v>64</v>
      </c>
      <c r="G109" s="572">
        <f>'New Hire'!H69</f>
        <v>0</v>
      </c>
      <c r="H109" s="572">
        <f>'New Hire'!I69</f>
        <v>40</v>
      </c>
      <c r="I109" s="573">
        <f>'New Hire'!J69</f>
        <v>0</v>
      </c>
      <c r="J109" s="574">
        <f>'New Hire'!K69</f>
        <v>22.16</v>
      </c>
      <c r="K109" s="573">
        <f>'New Hire'!L69</f>
        <v>80</v>
      </c>
      <c r="L109" s="573">
        <f>'New Hire'!M69</f>
        <v>80</v>
      </c>
      <c r="M109" s="573">
        <f>'New Hire'!N69</f>
        <v>80</v>
      </c>
      <c r="N109" s="573">
        <f>'New Hire'!O69</f>
        <v>80</v>
      </c>
      <c r="O109" s="575">
        <f>'New Hire'!P69</f>
        <v>0</v>
      </c>
      <c r="P109" s="478">
        <f t="shared" si="23"/>
        <v>698.47000000000014</v>
      </c>
      <c r="Q109" s="380"/>
      <c r="R109" s="380"/>
      <c r="S109" s="380"/>
      <c r="T109" s="380"/>
      <c r="U109" s="380"/>
    </row>
    <row r="110" spans="1:21">
      <c r="A110" s="445" t="s">
        <v>434</v>
      </c>
      <c r="B110" s="572">
        <v>0</v>
      </c>
      <c r="C110" s="572">
        <f>AA87</f>
        <v>0</v>
      </c>
      <c r="D110" s="572">
        <v>0</v>
      </c>
      <c r="E110" s="572">
        <v>0</v>
      </c>
      <c r="F110" s="572">
        <v>0</v>
      </c>
      <c r="G110" s="572">
        <v>0</v>
      </c>
      <c r="H110" s="572">
        <v>0</v>
      </c>
      <c r="I110" s="573">
        <v>0</v>
      </c>
      <c r="J110" s="574">
        <v>0</v>
      </c>
      <c r="K110" s="573">
        <v>0</v>
      </c>
      <c r="L110" s="573">
        <v>0</v>
      </c>
      <c r="M110" s="573">
        <v>0</v>
      </c>
      <c r="N110" s="573">
        <v>0</v>
      </c>
      <c r="O110" s="575">
        <v>0</v>
      </c>
      <c r="P110" s="478">
        <f t="shared" si="23"/>
        <v>0</v>
      </c>
      <c r="Q110" s="347"/>
      <c r="R110" s="347"/>
      <c r="S110" s="347"/>
      <c r="T110" s="347"/>
      <c r="U110" s="347"/>
    </row>
    <row r="111" spans="1:21">
      <c r="A111" s="445" t="s">
        <v>435</v>
      </c>
      <c r="B111" s="572">
        <v>0</v>
      </c>
      <c r="C111" s="572">
        <v>0</v>
      </c>
      <c r="D111" s="572">
        <v>0</v>
      </c>
      <c r="E111" s="572">
        <v>0</v>
      </c>
      <c r="F111" s="572">
        <v>0</v>
      </c>
      <c r="G111" s="572">
        <v>0</v>
      </c>
      <c r="H111" s="572">
        <v>0</v>
      </c>
      <c r="I111" s="573">
        <v>0</v>
      </c>
      <c r="J111" s="574">
        <v>0</v>
      </c>
      <c r="K111" s="573">
        <v>0</v>
      </c>
      <c r="L111" s="573">
        <v>0</v>
      </c>
      <c r="M111" s="573">
        <v>0</v>
      </c>
      <c r="N111" s="573">
        <v>0</v>
      </c>
      <c r="O111" s="575">
        <v>0</v>
      </c>
      <c r="P111" s="478">
        <f t="shared" si="23"/>
        <v>0</v>
      </c>
      <c r="Q111" s="347"/>
      <c r="R111" s="347"/>
      <c r="S111" s="347"/>
      <c r="T111" s="347"/>
      <c r="U111" s="347"/>
    </row>
    <row r="112" spans="1:21">
      <c r="A112" s="445" t="s">
        <v>436</v>
      </c>
      <c r="B112" s="572">
        <v>0</v>
      </c>
      <c r="C112" s="572">
        <v>0</v>
      </c>
      <c r="D112" s="572">
        <v>0</v>
      </c>
      <c r="E112" s="572">
        <v>0</v>
      </c>
      <c r="F112" s="572">
        <v>0</v>
      </c>
      <c r="G112" s="572">
        <v>0</v>
      </c>
      <c r="H112" s="572">
        <v>0</v>
      </c>
      <c r="I112" s="573">
        <v>0</v>
      </c>
      <c r="J112" s="574">
        <v>0</v>
      </c>
      <c r="K112" s="573">
        <v>0</v>
      </c>
      <c r="L112" s="573">
        <v>0</v>
      </c>
      <c r="M112" s="573">
        <v>0</v>
      </c>
      <c r="N112" s="573">
        <v>0</v>
      </c>
      <c r="O112" s="575">
        <v>0</v>
      </c>
      <c r="P112" s="478">
        <f t="shared" si="23"/>
        <v>0</v>
      </c>
      <c r="Q112" s="347"/>
      <c r="R112" s="347"/>
      <c r="S112" s="347"/>
      <c r="T112" s="347"/>
      <c r="U112" s="347"/>
    </row>
    <row r="113" spans="1:21">
      <c r="A113" s="474"/>
      <c r="B113" s="407"/>
      <c r="C113" s="407"/>
      <c r="D113" s="407"/>
      <c r="E113" s="407"/>
      <c r="F113" s="407"/>
      <c r="G113" s="407"/>
      <c r="H113" s="407"/>
      <c r="I113" s="407"/>
      <c r="J113" s="674"/>
      <c r="K113" s="477"/>
      <c r="L113" s="477"/>
      <c r="M113" s="477"/>
      <c r="N113" s="477"/>
      <c r="O113" s="477"/>
      <c r="P113" s="348"/>
      <c r="Q113" s="347"/>
      <c r="R113" s="347"/>
      <c r="S113" s="347"/>
      <c r="T113" s="347"/>
      <c r="U113" s="347"/>
    </row>
    <row r="114" spans="1:21" ht="15.6">
      <c r="A114" s="411" t="s">
        <v>437</v>
      </c>
      <c r="B114" s="14"/>
      <c r="C114" s="7"/>
      <c r="D114" s="7"/>
      <c r="E114" s="322"/>
      <c r="F114" s="7"/>
      <c r="G114" s="7"/>
      <c r="H114" s="7"/>
      <c r="I114" s="7"/>
      <c r="J114" s="436"/>
      <c r="K114" s="322"/>
      <c r="L114" s="322"/>
      <c r="M114" s="322"/>
      <c r="N114" s="322"/>
      <c r="O114" s="322"/>
      <c r="P114" s="347"/>
      <c r="Q114" s="347"/>
      <c r="R114" s="347"/>
      <c r="S114" s="347"/>
      <c r="T114" s="347"/>
      <c r="U114" s="347"/>
    </row>
    <row r="115" spans="1:21">
      <c r="A115" s="6" t="s">
        <v>863</v>
      </c>
      <c r="B115" s="576">
        <f>IF(OR(B11="S",B11="C"),0,IF(OR(B11="1",B11="3"),ROUND(20*8*B16/365,5),ROUND(20*'New Hire'!C24*B16/365,5)))</f>
        <v>13.589040000000001</v>
      </c>
      <c r="C115" s="576">
        <f>IF(OR(C11="S",C11="C"),0,IF(OR(C11="1",C11="3"),ROUND(20*8*C16/365,5),ROUND(20*'New Hire'!D24*C16/365,5)))</f>
        <v>6.1150700000000002</v>
      </c>
      <c r="D115" s="576">
        <f>IF(OR(D11="S",D11="C"),0,IF(OR(D11="1",D11="3"),ROUND(20*8*D16/365,5),ROUND(20*'New Hire'!E24*D16/365,5)))</f>
        <v>10.52055</v>
      </c>
      <c r="E115" s="576">
        <f>IF(OR(E11="S",E11="C"),0,IF(OR(E11="1",E11="3"),ROUND(20*8*E16/365,5),ROUND(20*'New Hire'!F24*E16/365,5)))</f>
        <v>13.589040000000001</v>
      </c>
      <c r="F115" s="576">
        <f>IF(OR(F11="S",F11="C"),0,IF(OR(F11="1",F11="3"),ROUND(20*8*F16/365,5),ROUND(20*'New Hire'!G24*F16/365,5)))</f>
        <v>10.871230000000001</v>
      </c>
      <c r="G115" s="576">
        <f>IF(OR(G11="S",G11="C"),0,IF(OR(G11="1",G11="3"),ROUND(20*8*G16/365,5),ROUND(20*'New Hire'!H24*G16/365,5)))</f>
        <v>0</v>
      </c>
      <c r="H115" s="576">
        <f>IF(OR(H11="S",H11="C"),0,IF(OR(H11="1",H11="3"),ROUND(20*8*H16/365,5),ROUND(20*'New Hire'!I24*H16/365,5)))</f>
        <v>6.7945200000000003</v>
      </c>
      <c r="I115" s="576">
        <f>IF(OR(I11="S",I11="C"),0,IF(OR(I11="1",I11="3"),ROUND(20*8*I16/365,5),ROUND(20*'New Hire'!J24*I16/365,5)))</f>
        <v>0</v>
      </c>
      <c r="J115" s="675">
        <f>IF(OR(J11="S",J11="C"),0,IF(OR(J11="1",J11="3"),ROUND(20*8*J16/365,5),ROUND(20*'New Hire'!K24*J16/365,5)))</f>
        <v>0.39451999999999998</v>
      </c>
      <c r="K115" s="576">
        <f>IF(OR(K11="S",K11="C"),0,IF(OR(K11="1",K11="3"),ROUND(20*8*K16/365,5),ROUND(20*'New Hire'!L24*K16/365,5)))</f>
        <v>13.589040000000001</v>
      </c>
      <c r="L115" s="576">
        <f>IF(OR(L11="S",L11="C"),0,IF(OR(L11="1",L11="3"),ROUND(20*8*L16/365,5),ROUND(20*'New Hire'!M24*L16/365,5)))</f>
        <v>13.589040000000001</v>
      </c>
      <c r="M115" s="576">
        <f>IF(OR(M11="S",M11="C"),0,IF(OR(M11="1",M11="3"),ROUND(20*8*M16/365,5),ROUND(20*'New Hire'!N24*M16/365,5)))</f>
        <v>13.589040000000001</v>
      </c>
      <c r="N115" s="576">
        <f>IF(OR(N11="S",N11="C"),0,IF(OR(N11="1",N11="3"),ROUND(20*8*N16/365,5),ROUND(20*'New Hire'!O24*N16/365,5)))</f>
        <v>13.589040000000001</v>
      </c>
      <c r="O115" s="576">
        <f>IF(OR(O11="S",O11="C"),0,IF(OR(O11="1",O11="3"),ROUND(20*8*O16/365,5),ROUND(20*'New Hire'!P24*O16/365,5)))</f>
        <v>0</v>
      </c>
      <c r="P115" s="347"/>
      <c r="Q115" s="347"/>
      <c r="R115" s="347"/>
      <c r="S115" s="347"/>
      <c r="T115" s="347"/>
      <c r="U115" s="347"/>
    </row>
    <row r="116" spans="1:21">
      <c r="A116" s="6" t="s">
        <v>864</v>
      </c>
      <c r="B116" s="576">
        <f>IF(OR(B11="S",B11="C"),0,IF(OR(B11="1",B11="3"),ROUND(10*8*B16/365,5),ROUND(10*'New Hire'!C24*B16/365,5)))</f>
        <v>6.7945200000000003</v>
      </c>
      <c r="C116" s="576">
        <f>IF(OR(C11="S",C11="C"),0,IF(OR(C11="1",C11="3"),ROUND(10*8*C16/365,5),ROUND(10*'New Hire'!D24*C16/365,5)))</f>
        <v>3.0575299999999999</v>
      </c>
      <c r="D116" s="576">
        <f>IF(OR(D11="S",D11="C"),0,IF(OR(D11="1",D11="3"),ROUND(10*8*D16/365,5),ROUND(10*'New Hire'!E24*D16/365,5)))</f>
        <v>5.2602700000000002</v>
      </c>
      <c r="E116" s="576">
        <f>IF(OR(E11="S",E11="C"),0,IF(OR(E11="1",E11="3"),ROUND(10*8*E16/365,5),ROUND(10*'New Hire'!F24*E16/365,5)))</f>
        <v>6.7945200000000003</v>
      </c>
      <c r="F116" s="576">
        <f>IF(OR(F11="S",F11="C"),0,IF(OR(F11="1",F11="3"),ROUND(10*8*F16/365,5),ROUND(10*'New Hire'!G24*F16/365,5)))</f>
        <v>5.4356200000000001</v>
      </c>
      <c r="G116" s="576">
        <f>IF(OR(G11="S",G11="C"),0,IF(OR(G11="1",G11="3"),ROUND(10*8*G16/365,5),ROUND(10*'New Hire'!H24*G16/365,5)))</f>
        <v>0</v>
      </c>
      <c r="H116" s="576">
        <f>IF(OR(H11="S",H11="C"),0,IF(OR(H11="1",H11="3"),ROUND(10*8*H16/365,5),ROUND(10*'New Hire'!I24*H16/365,5)))</f>
        <v>3.3972600000000002</v>
      </c>
      <c r="I116" s="576">
        <f>IF(OR(I11="S",I11="C"),0,IF(OR(I11="1",I11="3"),ROUND(10*8*I16/365,5),ROUND(10*'New Hire'!J24*I16/365,5)))</f>
        <v>0</v>
      </c>
      <c r="J116" s="675">
        <f>IF(OR(J11="S",J11="C"),0,IF(OR(J11="1",J11="3"),ROUND(10*8*J16/365,5),ROUND(10*'New Hire'!K24*J16/365,5)))</f>
        <v>0.19725999999999999</v>
      </c>
      <c r="K116" s="576">
        <f>IF(OR(K11="S",K11="C"),0,IF(OR(K11="1",K11="3"),ROUND(10*8*K16/365,5),ROUND(10*'New Hire'!L24*K16/365,5)))</f>
        <v>6.7945200000000003</v>
      </c>
      <c r="L116" s="576">
        <f>IF(OR(L11="S",L11="C"),0,IF(OR(L11="1",L11="3"),ROUND(10*8*L16/365,5),ROUND(10*'New Hire'!M24*L16/365,5)))</f>
        <v>6.7945200000000003</v>
      </c>
      <c r="M116" s="576">
        <f>IF(OR(M11="S",M11="C"),0,IF(OR(M11="1",M11="3"),ROUND(10*8*M16/365,5),ROUND(10*'New Hire'!N24*M16/365,5)))</f>
        <v>6.7945200000000003</v>
      </c>
      <c r="N116" s="576">
        <f>IF(OR(N11="S",N11="C"),0,IF(OR(N11="1",N11="3"),ROUND(10*8*N16/365,5),ROUND(10*'New Hire'!O24*N16/365,5)))</f>
        <v>6.7945200000000003</v>
      </c>
      <c r="O116" s="576">
        <f>IF(OR(O11="S",O11="C"),0,IF(OR(O11="1",O11="3"),ROUND(10*8*O16/365,5),ROUND(10*'New Hire'!P24*O16/365,5)))</f>
        <v>0</v>
      </c>
      <c r="P116" s="347"/>
      <c r="Q116" s="347"/>
      <c r="R116" s="347"/>
      <c r="S116" s="347"/>
      <c r="T116" s="347"/>
      <c r="U116" s="347"/>
    </row>
    <row r="117" spans="1:21">
      <c r="A117" s="474" t="s">
        <v>666</v>
      </c>
      <c r="B117" s="480">
        <f>IF('New Hire'!C78=1,ROUND(25/10*B13%/365,5)*B16,0)</f>
        <v>0</v>
      </c>
      <c r="C117" s="480">
        <f>IF('New Hire'!D78=1,ROUND(25/10*C13%/365,5)*C16,0)</f>
        <v>0</v>
      </c>
      <c r="D117" s="480">
        <f>IF('New Hire'!E78=1,ROUND(25/10*D13%/365,5)*D16,0)</f>
        <v>0</v>
      </c>
      <c r="E117" s="480">
        <f>IF('New Hire'!F78=1,ROUND(25/10*E13%/365,5)*E16,0)</f>
        <v>0</v>
      </c>
      <c r="F117" s="480">
        <f>IF('New Hire'!G78=1,ROUND(25/10*F13%/365,5)*F16,0)</f>
        <v>0.21235000000000001</v>
      </c>
      <c r="G117" s="480">
        <f>IF('New Hire'!H78=1,ROUND(25/10*G13%/365,5)*G16,0)</f>
        <v>0</v>
      </c>
      <c r="H117" s="480">
        <f>IF('New Hire'!I78=1,ROUND(25/10*H13%/365,5)*H16,0)</f>
        <v>0</v>
      </c>
      <c r="I117" s="480">
        <f>IF('New Hire'!J78=1,ROUND(25/10*I13%/365,5)*I16,0)</f>
        <v>0</v>
      </c>
      <c r="J117" s="589">
        <f>IF('New Hire'!K78=1,ROUND(25/10*J13%/365,5)*J16,0)</f>
        <v>0</v>
      </c>
      <c r="K117" s="480">
        <f>IF('New Hire'!L78=1,ROUND(25/10*K13%/365,5)*K16,0)</f>
        <v>0</v>
      </c>
      <c r="L117" s="480">
        <f>IF('New Hire'!M78=1,ROUND(25/10*L13%/365,5)*L16,0)</f>
        <v>0</v>
      </c>
      <c r="M117" s="480">
        <f>IF('New Hire'!N78=1,ROUND(25/10*M13%/365,5)*M16,0)</f>
        <v>0</v>
      </c>
      <c r="N117" s="480">
        <f>IF('New Hire'!O78=1,ROUND(25/10*N13%/365,5)*N16,0)</f>
        <v>0</v>
      </c>
      <c r="O117" s="480">
        <f>IF('New Hire'!P78=1,ROUND(25/10*O13%/365,5)*O16,0)</f>
        <v>0</v>
      </c>
      <c r="P117" s="347"/>
    </row>
    <row r="118" spans="1:21">
      <c r="A118" s="474" t="s">
        <v>667</v>
      </c>
      <c r="B118" s="480">
        <f>IF(B11="C",0,IF('New Hire'!C78=1,0,ROUND(5/5*B13%/365,5)*B16))</f>
        <v>8.4939999999999988E-2</v>
      </c>
      <c r="C118" s="480">
        <f>IF(C11="C",0,IF('New Hire'!D78=1,0,ROUND(5/5*C13%/365,5)*C16))</f>
        <v>4.2469999999999994E-2</v>
      </c>
      <c r="D118" s="480">
        <f>IF(D11="C",0,IF('New Hire'!E78=1,0,ROUND(5/5*D13%/365,5)*D16))</f>
        <v>6.5759999999999999E-2</v>
      </c>
      <c r="E118" s="480">
        <f>IF(E11="C",0,IF('New Hire'!F78=1,0,ROUND(5/5*E13%/365,5)*E16))</f>
        <v>8.4939999999999988E-2</v>
      </c>
      <c r="F118" s="480">
        <f>IF(F11="C",0,IF('New Hire'!G78=1,0,ROUND(5/5*F13%/365,5)*F16))</f>
        <v>0</v>
      </c>
      <c r="G118" s="480">
        <f>IF(G11="C",0,IF('New Hire'!H78=1,0,ROUND(5/5*G13%/365,5)*G16))</f>
        <v>0</v>
      </c>
      <c r="H118" s="480">
        <f>IF(H11="C",0,IF('New Hire'!I78=1,0,ROUND(5/5*H13%/365,5)*H16))</f>
        <v>4.2469999999999994E-2</v>
      </c>
      <c r="I118" s="480">
        <f>IF(I11="C",0,IF('New Hire'!J78=1,0,ROUND(5/5*I13%/365,5)*I16))</f>
        <v>3.8359999999999998E-2</v>
      </c>
      <c r="J118" s="589">
        <f>IF(J11="C",0,IF('New Hire'!K78=1,0,ROUND(5/5*J13%/365,5)*J16))</f>
        <v>4.1099999999999999E-3</v>
      </c>
      <c r="K118" s="480">
        <f>IF(K11="C",0,IF('New Hire'!L78=1,0,ROUND(5/5*K13%/365,5)*K16))</f>
        <v>8.4939999999999988E-2</v>
      </c>
      <c r="L118" s="480">
        <f>IF(L11="C",0,IF('New Hire'!M78=1,0,ROUND(5/5*L13%/365,5)*L16))</f>
        <v>8.4939999999999988E-2</v>
      </c>
      <c r="M118" s="480">
        <f>IF(M11="C",0,IF('New Hire'!N78=1,0,ROUND(5/5*M13%/365,5)*M16))</f>
        <v>8.4939999999999988E-2</v>
      </c>
      <c r="N118" s="480">
        <f>IF(N11="C",0,IF('New Hire'!O78=1,0,ROUND(5/5*N13%/365,5)*N16))</f>
        <v>8.4939999999999988E-2</v>
      </c>
      <c r="O118" s="480">
        <f>IF(O11="C",0,IF('New Hire'!P78=1,0,ROUND(5/5*O13%/365,5)*O16))</f>
        <v>0</v>
      </c>
      <c r="P118" s="347"/>
    </row>
    <row r="119" spans="1:21">
      <c r="F119" s="5"/>
      <c r="G119" s="5"/>
      <c r="H119" s="5"/>
      <c r="I119" s="5"/>
      <c r="J119" s="521"/>
    </row>
    <row r="120" spans="1:21" ht="15.6">
      <c r="A120" s="411" t="s">
        <v>629</v>
      </c>
      <c r="H120" s="685" t="s">
        <v>1288</v>
      </c>
      <c r="J120" s="521"/>
    </row>
    <row r="121" spans="1:21">
      <c r="A121" s="445" t="s">
        <v>479</v>
      </c>
      <c r="B121" s="452">
        <f>'New Hire'!C32</f>
        <v>5000000</v>
      </c>
      <c r="C121" s="452">
        <f>'New Hire'!D32</f>
        <v>4500000</v>
      </c>
      <c r="D121" s="452">
        <f>'New Hire'!E32</f>
        <v>7000000</v>
      </c>
      <c r="E121" s="452">
        <f>'New Hire'!F32</f>
        <v>9000000</v>
      </c>
      <c r="F121" s="452">
        <f>'New Hire'!G32</f>
        <v>14000000</v>
      </c>
      <c r="G121" s="452"/>
      <c r="H121" s="452">
        <f>'New Hire'!I32</f>
        <v>5000</v>
      </c>
      <c r="I121" s="452">
        <f>'New Hire'!J32</f>
        <v>4000</v>
      </c>
      <c r="J121" s="502">
        <f>'New Hire'!K32</f>
        <v>50000000</v>
      </c>
      <c r="K121" s="452">
        <f>'New Hire'!L32</f>
        <v>8000000</v>
      </c>
      <c r="L121" s="452">
        <f>'New Hire'!M32</f>
        <v>90000000</v>
      </c>
      <c r="M121" s="452">
        <f>'New Hire'!N32</f>
        <v>5000000</v>
      </c>
      <c r="N121" s="452">
        <f>'New Hire'!O32</f>
        <v>6500000</v>
      </c>
    </row>
    <row r="122" spans="1:21">
      <c r="A122" s="445" t="s">
        <v>776</v>
      </c>
      <c r="B122" s="452"/>
      <c r="C122" s="452"/>
      <c r="D122" s="452"/>
      <c r="E122" s="452"/>
      <c r="F122" s="452"/>
      <c r="G122" s="452">
        <v>200</v>
      </c>
      <c r="H122" s="452"/>
      <c r="I122" s="452"/>
      <c r="J122" s="502"/>
      <c r="K122" s="452"/>
      <c r="L122" s="452"/>
      <c r="M122" s="452"/>
      <c r="N122" s="452"/>
      <c r="O122" s="452">
        <f>'New Hire'!P32</f>
        <v>800000</v>
      </c>
    </row>
    <row r="123" spans="1:21">
      <c r="A123" s="451" t="s">
        <v>496</v>
      </c>
      <c r="B123" s="452">
        <f>'New Hire'!C34</f>
        <v>500000</v>
      </c>
      <c r="C123" s="452">
        <f>'New Hire'!D34</f>
        <v>450000</v>
      </c>
      <c r="D123" s="452">
        <f>'New Hire'!E34</f>
        <v>700000</v>
      </c>
      <c r="E123" s="452">
        <f>'New Hire'!F34</f>
        <v>0</v>
      </c>
      <c r="F123" s="452">
        <f>'New Hire'!G34</f>
        <v>0</v>
      </c>
      <c r="G123" s="452">
        <f>'New Hire'!H34</f>
        <v>0</v>
      </c>
      <c r="H123" s="452">
        <f>'New Hire'!I34</f>
        <v>500</v>
      </c>
      <c r="I123" s="452">
        <f>'New Hire'!J34</f>
        <v>0</v>
      </c>
      <c r="J123" s="502">
        <f>'New Hire'!K34</f>
        <v>5000000</v>
      </c>
      <c r="K123" s="452">
        <f>'New Hire'!L34</f>
        <v>800000</v>
      </c>
      <c r="L123" s="452">
        <f>'New Hire'!M34</f>
        <v>0</v>
      </c>
      <c r="M123" s="452">
        <f>'New Hire'!N34</f>
        <v>1000000</v>
      </c>
      <c r="N123" s="452">
        <f>'New Hire'!O34</f>
        <v>1000000</v>
      </c>
      <c r="O123" s="452">
        <f>'New Hire'!P34</f>
        <v>0</v>
      </c>
    </row>
    <row r="124" spans="1:21">
      <c r="A124" s="415" t="s">
        <v>569</v>
      </c>
      <c r="B124" s="452">
        <f>'New Hire'!C36</f>
        <v>1000000</v>
      </c>
      <c r="C124" s="452">
        <f>'New Hire'!D36</f>
        <v>900000</v>
      </c>
      <c r="D124" s="452">
        <f>'New Hire'!E36</f>
        <v>1400000</v>
      </c>
      <c r="E124" s="452">
        <f>'New Hire'!F36</f>
        <v>0</v>
      </c>
      <c r="F124" s="452">
        <f>'New Hire'!G36</f>
        <v>0</v>
      </c>
      <c r="G124" s="452">
        <f>'New Hire'!H36</f>
        <v>0</v>
      </c>
      <c r="H124" s="452">
        <f>'New Hire'!I36</f>
        <v>1000</v>
      </c>
      <c r="I124" s="452">
        <f>'New Hire'!J36</f>
        <v>0</v>
      </c>
      <c r="J124" s="502">
        <f>'New Hire'!K36</f>
        <v>10000000</v>
      </c>
      <c r="K124" s="452">
        <f>'New Hire'!L36</f>
        <v>1600000</v>
      </c>
      <c r="L124" s="452">
        <f>'New Hire'!M36</f>
        <v>0</v>
      </c>
      <c r="M124" s="452">
        <f>'New Hire'!N36</f>
        <v>1500000</v>
      </c>
      <c r="N124" s="452">
        <f>'New Hire'!O36</f>
        <v>1500000</v>
      </c>
      <c r="O124" s="452">
        <f>'New Hire'!P36</f>
        <v>0</v>
      </c>
    </row>
    <row r="125" spans="1:21">
      <c r="A125" s="423" t="s">
        <v>495</v>
      </c>
      <c r="B125" s="452">
        <v>3000000</v>
      </c>
      <c r="C125" s="452">
        <v>3000000</v>
      </c>
      <c r="D125" s="452">
        <v>3000000</v>
      </c>
      <c r="E125" s="452">
        <v>3000000</v>
      </c>
      <c r="F125" s="452">
        <v>3000000</v>
      </c>
      <c r="G125" s="453">
        <v>0</v>
      </c>
      <c r="H125" s="453">
        <v>0</v>
      </c>
      <c r="I125" s="453">
        <v>0</v>
      </c>
      <c r="J125" s="439">
        <v>0</v>
      </c>
      <c r="K125" s="453">
        <v>0</v>
      </c>
      <c r="L125" s="453">
        <v>0</v>
      </c>
      <c r="M125" s="453">
        <v>0</v>
      </c>
      <c r="N125" s="453">
        <v>0</v>
      </c>
      <c r="O125" s="453">
        <v>0</v>
      </c>
    </row>
    <row r="126" spans="1:21">
      <c r="A126" s="423" t="s">
        <v>1255</v>
      </c>
      <c r="B126" s="452">
        <f>AA57</f>
        <v>1500000</v>
      </c>
      <c r="C126" s="452">
        <f>AA58</f>
        <v>1500000</v>
      </c>
      <c r="D126" s="452"/>
      <c r="E126" s="452"/>
      <c r="F126" s="452"/>
      <c r="G126" s="453"/>
      <c r="H126" s="453">
        <f>AA59</f>
        <v>100</v>
      </c>
      <c r="I126" s="453"/>
      <c r="J126" s="439"/>
      <c r="K126" s="453"/>
      <c r="L126" s="453"/>
      <c r="M126" s="453"/>
      <c r="N126" s="453"/>
      <c r="O126" s="453"/>
    </row>
    <row r="127" spans="1:21">
      <c r="A127" s="412" t="s">
        <v>530</v>
      </c>
      <c r="B127" s="452">
        <v>2000000</v>
      </c>
      <c r="C127" s="452">
        <v>2000000</v>
      </c>
      <c r="D127" s="452">
        <v>2000000</v>
      </c>
      <c r="E127" s="452"/>
      <c r="F127" s="455"/>
      <c r="G127" s="455"/>
      <c r="H127" s="455">
        <v>350</v>
      </c>
      <c r="I127" s="455">
        <v>335</v>
      </c>
      <c r="J127" s="676"/>
      <c r="K127" s="455"/>
      <c r="L127" s="455"/>
      <c r="M127" s="455"/>
      <c r="N127" s="455"/>
      <c r="O127" s="455"/>
    </row>
    <row r="128" spans="1:21">
      <c r="A128" s="423" t="s">
        <v>598</v>
      </c>
      <c r="B128" s="332">
        <v>1800000</v>
      </c>
      <c r="C128" s="332">
        <v>1800000</v>
      </c>
      <c r="D128" s="332">
        <v>1800000</v>
      </c>
      <c r="E128" s="332">
        <v>1800000</v>
      </c>
      <c r="F128" s="332">
        <v>1800000</v>
      </c>
      <c r="G128" s="340"/>
      <c r="H128" s="332"/>
      <c r="I128" s="332"/>
      <c r="J128" s="676"/>
      <c r="K128" s="455"/>
      <c r="L128" s="455"/>
      <c r="M128" s="455"/>
      <c r="N128" s="455"/>
      <c r="O128" s="455"/>
    </row>
    <row r="129" spans="1:16">
      <c r="A129" s="415" t="s">
        <v>493</v>
      </c>
      <c r="B129" s="452"/>
      <c r="C129" s="332">
        <v>730000</v>
      </c>
      <c r="D129" s="332">
        <v>730000</v>
      </c>
      <c r="E129" s="456"/>
      <c r="F129" s="340"/>
      <c r="G129" s="340"/>
      <c r="H129" s="332"/>
      <c r="I129" s="332"/>
      <c r="J129" s="676"/>
      <c r="K129" s="332">
        <v>730000</v>
      </c>
      <c r="L129" s="455"/>
      <c r="M129" s="455"/>
      <c r="N129" s="455"/>
      <c r="O129" s="455"/>
    </row>
    <row r="130" spans="1:16">
      <c r="A130" s="415" t="s">
        <v>499</v>
      </c>
      <c r="B130" s="452">
        <v>2000000</v>
      </c>
      <c r="C130" s="452">
        <v>2000000</v>
      </c>
      <c r="D130" s="452">
        <v>2000000</v>
      </c>
      <c r="E130" s="456"/>
      <c r="F130" s="340"/>
      <c r="G130" s="340"/>
      <c r="H130" s="332"/>
      <c r="I130" s="332"/>
      <c r="J130" s="676"/>
      <c r="K130" s="455"/>
      <c r="L130" s="455"/>
      <c r="M130" s="455"/>
      <c r="N130" s="455"/>
      <c r="O130" s="455"/>
    </row>
    <row r="131" spans="1:16">
      <c r="A131" s="6" t="s">
        <v>630</v>
      </c>
      <c r="B131" s="452"/>
      <c r="C131" s="452"/>
      <c r="D131" s="452"/>
      <c r="E131" s="456"/>
      <c r="F131" s="340"/>
      <c r="G131" s="340"/>
      <c r="H131" s="332"/>
      <c r="I131" s="332"/>
      <c r="J131" s="676"/>
      <c r="K131" s="455"/>
      <c r="L131" s="455"/>
      <c r="M131" s="455"/>
      <c r="N131" s="455"/>
      <c r="O131" s="455"/>
    </row>
    <row r="132" spans="1:16">
      <c r="A132" s="6" t="s">
        <v>631</v>
      </c>
      <c r="B132" s="452"/>
      <c r="C132" s="452"/>
      <c r="D132" s="452"/>
      <c r="E132" s="456"/>
      <c r="F132" s="340"/>
      <c r="G132" s="340"/>
      <c r="H132" s="332"/>
      <c r="I132" s="332"/>
      <c r="J132" s="676"/>
      <c r="K132" s="455"/>
      <c r="L132" s="455"/>
      <c r="M132" s="455"/>
      <c r="N132" s="455"/>
      <c r="O132" s="455"/>
    </row>
    <row r="133" spans="1:16">
      <c r="A133" s="6" t="s">
        <v>632</v>
      </c>
      <c r="B133" s="452"/>
      <c r="C133" s="452"/>
      <c r="D133" s="452"/>
      <c r="E133" s="452"/>
      <c r="F133" s="455"/>
      <c r="G133" s="456"/>
      <c r="H133" s="340"/>
      <c r="I133" s="340"/>
      <c r="J133" s="438"/>
      <c r="K133" s="332"/>
      <c r="L133" s="340"/>
      <c r="M133" s="455"/>
      <c r="N133" s="455"/>
      <c r="O133" s="455"/>
    </row>
    <row r="134" spans="1:16">
      <c r="A134" s="412" t="s">
        <v>613</v>
      </c>
      <c r="B134" s="452"/>
      <c r="C134" s="452"/>
      <c r="D134" s="452"/>
      <c r="E134" s="452"/>
      <c r="F134" s="455"/>
      <c r="G134" s="456"/>
      <c r="H134" s="340">
        <v>100</v>
      </c>
      <c r="I134" s="340">
        <v>100</v>
      </c>
      <c r="J134" s="438"/>
      <c r="K134" s="455"/>
      <c r="L134" s="340"/>
      <c r="M134" s="455"/>
      <c r="N134" s="455"/>
      <c r="O134" s="455"/>
    </row>
    <row r="135" spans="1:16">
      <c r="A135" s="412" t="s">
        <v>614</v>
      </c>
      <c r="B135" s="452"/>
      <c r="C135" s="452"/>
      <c r="D135" s="452"/>
      <c r="E135" s="452"/>
      <c r="F135" s="455"/>
      <c r="G135" s="456"/>
      <c r="H135" s="340">
        <v>200</v>
      </c>
      <c r="I135" s="340">
        <v>200</v>
      </c>
      <c r="J135" s="438"/>
      <c r="K135" s="455"/>
      <c r="L135" s="340"/>
      <c r="M135" s="455"/>
      <c r="N135" s="455"/>
      <c r="O135" s="455"/>
    </row>
    <row r="136" spans="1:16">
      <c r="A136" s="6" t="s">
        <v>633</v>
      </c>
      <c r="B136" s="452">
        <f t="shared" ref="B136:O136" si="50">IF(OR(B18="A",B18="B"),B121,ROUND((B121-B134-B135)*$B$4,0))</f>
        <v>5000000</v>
      </c>
      <c r="C136" s="452">
        <f t="shared" si="50"/>
        <v>4500000</v>
      </c>
      <c r="D136" s="452">
        <f t="shared" si="50"/>
        <v>7000000</v>
      </c>
      <c r="E136" s="452">
        <f t="shared" si="50"/>
        <v>9000000</v>
      </c>
      <c r="F136" s="452">
        <f t="shared" si="50"/>
        <v>14000000</v>
      </c>
      <c r="G136" s="452">
        <f t="shared" si="50"/>
        <v>0</v>
      </c>
      <c r="H136" s="452">
        <f t="shared" si="50"/>
        <v>109063500</v>
      </c>
      <c r="I136" s="452">
        <f t="shared" si="50"/>
        <v>85858500</v>
      </c>
      <c r="J136" s="502">
        <f t="shared" si="50"/>
        <v>50000000</v>
      </c>
      <c r="K136" s="452">
        <f t="shared" si="50"/>
        <v>8000000</v>
      </c>
      <c r="L136" s="452">
        <f t="shared" si="50"/>
        <v>90000000</v>
      </c>
      <c r="M136" s="452">
        <f t="shared" si="50"/>
        <v>5000000</v>
      </c>
      <c r="N136" s="452">
        <f t="shared" si="50"/>
        <v>6500000</v>
      </c>
      <c r="O136" s="452">
        <f t="shared" si="50"/>
        <v>0</v>
      </c>
    </row>
    <row r="137" spans="1:16">
      <c r="A137" s="6" t="s">
        <v>635</v>
      </c>
      <c r="B137" s="452">
        <f t="shared" ref="B137:O137" si="51">MIN(IF(OR(B18="A",B18="B"),0,ROUND((ROUND((B121-B134-B135)*B84*$B$4,0)+ROUND(B123*$B$4,0)+ROUND(B124*$B$4,0)+ROUND(B126*$B$4,0)+ROUND(B127*$B$4,0))/$B$4,0)*$B$5),27800000)</f>
        <v>0</v>
      </c>
      <c r="C137" s="452">
        <f t="shared" si="51"/>
        <v>0</v>
      </c>
      <c r="D137" s="452">
        <f t="shared" si="51"/>
        <v>0</v>
      </c>
      <c r="E137" s="452">
        <f t="shared" si="51"/>
        <v>0</v>
      </c>
      <c r="F137" s="452">
        <f t="shared" si="51"/>
        <v>0</v>
      </c>
      <c r="G137" s="452">
        <f t="shared" si="51"/>
        <v>0</v>
      </c>
      <c r="H137" s="452">
        <f t="shared" si="51"/>
        <v>27800000</v>
      </c>
      <c r="I137" s="452">
        <f t="shared" si="51"/>
        <v>27800000</v>
      </c>
      <c r="J137" s="502">
        <f t="shared" si="51"/>
        <v>0</v>
      </c>
      <c r="K137" s="452">
        <f t="shared" si="51"/>
        <v>0</v>
      </c>
      <c r="L137" s="452">
        <f t="shared" si="51"/>
        <v>0</v>
      </c>
      <c r="M137" s="452">
        <f t="shared" si="51"/>
        <v>0</v>
      </c>
      <c r="N137" s="452">
        <f t="shared" si="51"/>
        <v>0</v>
      </c>
      <c r="O137" s="452">
        <f t="shared" si="51"/>
        <v>0</v>
      </c>
      <c r="P137" s="452"/>
    </row>
    <row r="138" spans="1:16">
      <c r="A138" s="6" t="s">
        <v>1272</v>
      </c>
      <c r="B138" s="452">
        <f>IF(OR(B18="A",B18="B"),0,ROUND((B136+ROUND(B123*$B$4,0)+ROUND(B124*$B$4,0)+ROUND(B126*$B$4,0)+ROUND(B127*$B$4,0))/$B$4,0)*$B$5)</f>
        <v>0</v>
      </c>
      <c r="C138" s="452">
        <f t="shared" ref="C138:O138" si="52">IF(OR(C18="A",C18="B"),0,ROUND((C136+ROUND(C123*$B$4,0)+ROUND(C124*$B$4,0)+ROUND(C126*$B$4,0)+ROUND(C127*$B$4,0))/$B$4,0)*$B$5)</f>
        <v>0</v>
      </c>
      <c r="D138" s="452">
        <f t="shared" si="52"/>
        <v>0</v>
      </c>
      <c r="E138" s="452">
        <f t="shared" si="52"/>
        <v>0</v>
      </c>
      <c r="F138" s="452">
        <f t="shared" si="52"/>
        <v>0</v>
      </c>
      <c r="G138" s="452">
        <f t="shared" si="52"/>
        <v>0</v>
      </c>
      <c r="H138" s="452">
        <f t="shared" si="52"/>
        <v>156275000</v>
      </c>
      <c r="I138" s="452">
        <f t="shared" si="52"/>
        <v>94822500</v>
      </c>
      <c r="J138" s="502">
        <f t="shared" si="52"/>
        <v>0</v>
      </c>
      <c r="K138" s="452">
        <f t="shared" si="52"/>
        <v>0</v>
      </c>
      <c r="L138" s="452">
        <f t="shared" si="52"/>
        <v>0</v>
      </c>
      <c r="M138" s="452">
        <f t="shared" si="52"/>
        <v>0</v>
      </c>
      <c r="N138" s="452">
        <f t="shared" si="52"/>
        <v>0</v>
      </c>
      <c r="O138" s="452">
        <f t="shared" si="52"/>
        <v>0</v>
      </c>
      <c r="P138" s="452"/>
    </row>
    <row r="139" spans="1:16">
      <c r="A139" s="6" t="s">
        <v>665</v>
      </c>
      <c r="B139" s="5">
        <v>0</v>
      </c>
      <c r="C139" s="5">
        <v>0</v>
      </c>
      <c r="D139" s="5">
        <v>0</v>
      </c>
      <c r="E139" s="5">
        <v>0</v>
      </c>
      <c r="F139" s="5">
        <v>0</v>
      </c>
      <c r="G139" s="5">
        <v>0</v>
      </c>
      <c r="H139" s="5">
        <v>0</v>
      </c>
      <c r="I139" s="5">
        <v>0</v>
      </c>
      <c r="J139" s="642">
        <v>0</v>
      </c>
      <c r="K139" s="5">
        <v>0</v>
      </c>
      <c r="L139" s="5">
        <v>0</v>
      </c>
      <c r="M139" s="5">
        <v>0</v>
      </c>
      <c r="N139" s="5">
        <v>0</v>
      </c>
      <c r="O139" s="5">
        <v>0</v>
      </c>
    </row>
  </sheetData>
  <mergeCells count="4">
    <mergeCell ref="X6:AA6"/>
    <mergeCell ref="G6:J6"/>
    <mergeCell ref="X9:AA12"/>
    <mergeCell ref="P7:P8"/>
  </mergeCells>
  <phoneticPr fontId="11" type="noConversion"/>
  <pageMargins left="0.75" right="0.75" top="1" bottom="1" header="0.5" footer="0.5"/>
  <pageSetup paperSize="9" orientation="portrait" verticalDpi="90" r:id="rId1"/>
  <headerFooter alignWithMargins="0"/>
  <ignoredErrors>
    <ignoredError sqref="V70 V77:V78 V23:V27 V49:V65 V68" numberStoredAsText="1"/>
  </ignoredErrors>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146"/>
  <sheetViews>
    <sheetView workbookViewId="0">
      <pane xSplit="1" ySplit="9" topLeftCell="S25" activePane="bottomRight" state="frozen"/>
      <selection pane="topRight" activeCell="B1" sqref="B1"/>
      <selection pane="bottomLeft" activeCell="A10" sqref="A10"/>
      <selection pane="bottomRight" activeCell="AB33" sqref="AB33:AB34"/>
    </sheetView>
  </sheetViews>
  <sheetFormatPr defaultRowHeight="13.8"/>
  <cols>
    <col min="1" max="1" width="31" style="5" bestFit="1" customWidth="1"/>
    <col min="2" max="5" width="10.77734375" style="5" customWidth="1"/>
    <col min="6" max="21" width="10.77734375" customWidth="1"/>
    <col min="22" max="26" width="9.33203125" style="5" customWidth="1"/>
    <col min="27" max="27" width="8.6640625" style="5" bestFit="1" customWidth="1"/>
    <col min="28" max="29" width="9.33203125" style="5" customWidth="1"/>
  </cols>
  <sheetData>
    <row r="1" spans="1:29" s="3" customFormat="1" ht="20.399999999999999">
      <c r="A1" s="110" t="s">
        <v>6</v>
      </c>
      <c r="B1" s="110"/>
      <c r="C1" s="110"/>
      <c r="D1" s="110"/>
      <c r="E1" s="110"/>
      <c r="F1" s="449"/>
      <c r="L1" s="8"/>
      <c r="X1" s="1"/>
      <c r="Y1" s="1"/>
      <c r="Z1" s="1"/>
      <c r="AA1" s="1"/>
      <c r="AB1" s="1"/>
      <c r="AC1" s="1"/>
    </row>
    <row r="2" spans="1:29" s="3" customFormat="1" ht="12.75" customHeight="1">
      <c r="B2" s="116"/>
      <c r="C2" s="116"/>
      <c r="D2" s="116"/>
      <c r="E2" s="115"/>
      <c r="V2" s="22"/>
      <c r="W2" s="22"/>
      <c r="X2" s="22"/>
      <c r="Y2" s="22"/>
      <c r="Z2" s="22"/>
      <c r="AA2" s="2"/>
      <c r="AC2" s="2"/>
    </row>
    <row r="3" spans="1:29" s="3" customFormat="1" ht="30">
      <c r="A3" s="112" t="s">
        <v>119</v>
      </c>
      <c r="B3" s="116"/>
      <c r="C3" s="116"/>
      <c r="D3" s="116"/>
      <c r="E3" s="112"/>
      <c r="V3" s="22"/>
      <c r="W3" s="22"/>
      <c r="X3" s="22"/>
      <c r="Y3" s="22"/>
      <c r="Z3" s="22"/>
      <c r="AA3" s="2"/>
      <c r="AC3" s="2"/>
    </row>
    <row r="4" spans="1:29" s="116" customFormat="1">
      <c r="A4" s="116" t="s">
        <v>599</v>
      </c>
      <c r="B4" s="367">
        <v>23205</v>
      </c>
    </row>
    <row r="5" spans="1:29" s="116" customFormat="1">
      <c r="A5" s="116" t="s">
        <v>1273</v>
      </c>
      <c r="B5" s="367">
        <v>23500</v>
      </c>
    </row>
    <row r="6" spans="1:29" s="3" customFormat="1" ht="18" customHeight="1">
      <c r="A6" s="327">
        <v>43524</v>
      </c>
      <c r="B6" s="116"/>
      <c r="C6" s="116"/>
      <c r="D6" s="116"/>
      <c r="G6" s="721" t="s">
        <v>52</v>
      </c>
      <c r="H6" s="721"/>
      <c r="I6" s="721"/>
      <c r="J6" s="721"/>
      <c r="V6" s="22"/>
      <c r="W6" s="22"/>
      <c r="X6" s="720" t="s">
        <v>65</v>
      </c>
      <c r="Y6" s="720"/>
      <c r="Z6" s="720"/>
      <c r="AA6" s="720"/>
      <c r="AB6" s="2"/>
      <c r="AC6" s="2"/>
    </row>
    <row r="7" spans="1:29" s="4" customFormat="1" ht="27.6">
      <c r="A7" s="409"/>
      <c r="B7" s="323" t="s">
        <v>34</v>
      </c>
      <c r="C7" s="324" t="s">
        <v>35</v>
      </c>
      <c r="D7" s="324" t="s">
        <v>36</v>
      </c>
      <c r="E7" s="324" t="s">
        <v>37</v>
      </c>
      <c r="F7" s="324" t="s">
        <v>38</v>
      </c>
      <c r="G7" s="324" t="s">
        <v>39</v>
      </c>
      <c r="H7" s="324" t="s">
        <v>40</v>
      </c>
      <c r="I7" s="324" t="s">
        <v>41</v>
      </c>
      <c r="J7" s="324" t="s">
        <v>42</v>
      </c>
      <c r="K7" s="324" t="s">
        <v>43</v>
      </c>
      <c r="L7" s="324" t="s">
        <v>44</v>
      </c>
      <c r="M7" s="324" t="s">
        <v>45</v>
      </c>
      <c r="N7" s="324" t="s">
        <v>46</v>
      </c>
      <c r="O7" s="324" t="s">
        <v>47</v>
      </c>
      <c r="P7" s="731" t="s">
        <v>500</v>
      </c>
      <c r="Q7" s="349" t="s">
        <v>516</v>
      </c>
      <c r="R7" s="349" t="s">
        <v>517</v>
      </c>
      <c r="S7" s="349" t="s">
        <v>519</v>
      </c>
      <c r="T7" s="349" t="s">
        <v>521</v>
      </c>
      <c r="U7" s="349" t="s">
        <v>523</v>
      </c>
      <c r="V7" s="350"/>
      <c r="W7" s="351"/>
      <c r="X7" s="351"/>
      <c r="Y7" s="351"/>
      <c r="Z7" s="351"/>
      <c r="AA7" s="351"/>
      <c r="AB7" s="351"/>
      <c r="AC7" s="352"/>
    </row>
    <row r="8" spans="1:29" ht="15.6">
      <c r="A8" s="410"/>
      <c r="B8" s="117">
        <f>'New Hire'!C6</f>
        <v>91999901</v>
      </c>
      <c r="C8" s="339">
        <f>'New Hire'!D6</f>
        <v>91999902</v>
      </c>
      <c r="D8" s="339">
        <f>'New Hire'!E6</f>
        <v>91999903</v>
      </c>
      <c r="E8" s="339">
        <f>'New Hire'!F6</f>
        <v>91999904</v>
      </c>
      <c r="F8" s="339">
        <f>'New Hire'!G6</f>
        <v>91999905</v>
      </c>
      <c r="G8" s="339">
        <f>'New Hire'!H6</f>
        <v>91999906</v>
      </c>
      <c r="H8" s="339">
        <f>'New Hire'!I6</f>
        <v>91999907</v>
      </c>
      <c r="I8" s="339">
        <f>'New Hire'!J6</f>
        <v>91999908</v>
      </c>
      <c r="J8" s="339">
        <f>'New Hire'!K6</f>
        <v>91999909</v>
      </c>
      <c r="K8" s="339">
        <f>'New Hire'!L6</f>
        <v>91999910</v>
      </c>
      <c r="L8" s="339">
        <f>'New Hire'!M6</f>
        <v>91999911</v>
      </c>
      <c r="M8" s="339">
        <f>'New Hire'!N6</f>
        <v>91999912</v>
      </c>
      <c r="N8" s="339">
        <f>'New Hire'!O6</f>
        <v>91999913</v>
      </c>
      <c r="O8" s="339">
        <f>'New Hire'!P6</f>
        <v>91999914</v>
      </c>
      <c r="P8" s="732"/>
      <c r="Q8" s="349" t="s">
        <v>515</v>
      </c>
      <c r="R8" s="349" t="s">
        <v>518</v>
      </c>
      <c r="S8" s="349" t="s">
        <v>520</v>
      </c>
      <c r="T8" s="349" t="s">
        <v>522</v>
      </c>
      <c r="U8" s="349" t="s">
        <v>524</v>
      </c>
      <c r="V8" s="47"/>
      <c r="W8" s="48"/>
      <c r="X8" s="20"/>
      <c r="Y8" s="20"/>
      <c r="Z8" s="20"/>
      <c r="AA8" s="20"/>
      <c r="AB8" s="20"/>
      <c r="AC8" s="15"/>
    </row>
    <row r="9" spans="1:29" ht="12.75" customHeight="1">
      <c r="A9" s="411" t="s">
        <v>63</v>
      </c>
      <c r="B9" s="23"/>
      <c r="C9" s="19"/>
      <c r="D9" s="19"/>
      <c r="E9" s="20"/>
      <c r="F9" s="19"/>
      <c r="G9" s="19"/>
      <c r="H9" s="21"/>
      <c r="I9" s="19"/>
      <c r="J9" s="19"/>
      <c r="K9" s="20"/>
      <c r="L9" s="20"/>
      <c r="M9" s="20"/>
      <c r="N9" s="20"/>
      <c r="O9" s="20"/>
      <c r="P9" s="342"/>
      <c r="Q9" s="20"/>
      <c r="R9" s="20"/>
      <c r="S9" s="20"/>
      <c r="T9" s="20"/>
      <c r="U9" s="20"/>
      <c r="V9" s="25"/>
      <c r="W9" s="26"/>
      <c r="X9" s="722" t="s">
        <v>68</v>
      </c>
      <c r="Y9" s="723"/>
      <c r="Z9" s="723"/>
      <c r="AA9" s="724"/>
      <c r="AB9" s="27"/>
      <c r="AC9" s="18"/>
    </row>
    <row r="10" spans="1:29">
      <c r="A10" s="424" t="s">
        <v>480</v>
      </c>
      <c r="B10" s="462">
        <v>43497</v>
      </c>
      <c r="C10" s="462">
        <v>43497</v>
      </c>
      <c r="D10" s="462">
        <v>43497</v>
      </c>
      <c r="E10" s="462">
        <v>43497</v>
      </c>
      <c r="F10" s="462">
        <v>43497</v>
      </c>
      <c r="G10" s="462">
        <v>43497</v>
      </c>
      <c r="H10" s="462">
        <v>43497</v>
      </c>
      <c r="I10" s="462">
        <v>43497</v>
      </c>
      <c r="J10" s="462">
        <v>43497</v>
      </c>
      <c r="K10" s="462">
        <v>43497</v>
      </c>
      <c r="L10" s="462">
        <v>43497</v>
      </c>
      <c r="M10" s="462">
        <v>43497</v>
      </c>
      <c r="N10" s="462">
        <v>43497</v>
      </c>
      <c r="O10" s="541">
        <v>43497</v>
      </c>
      <c r="P10" s="15"/>
      <c r="Q10" s="20"/>
      <c r="R10" s="20"/>
      <c r="S10" s="20"/>
      <c r="T10" s="20"/>
      <c r="U10" s="20"/>
      <c r="V10" s="28"/>
      <c r="W10" s="29"/>
      <c r="X10" s="725"/>
      <c r="Y10" s="726"/>
      <c r="Z10" s="726"/>
      <c r="AA10" s="727"/>
      <c r="AB10" s="30"/>
      <c r="AC10" s="15"/>
    </row>
    <row r="11" spans="1:29" ht="12.75" customHeight="1">
      <c r="A11" s="424" t="s">
        <v>491</v>
      </c>
      <c r="B11" s="388" t="str">
        <f>'New Hire'!C10</f>
        <v>1</v>
      </c>
      <c r="C11" s="388" t="str">
        <f>'New Hire'!D10</f>
        <v>P</v>
      </c>
      <c r="D11" s="388" t="str">
        <f>'New Hire'!E10</f>
        <v>3</v>
      </c>
      <c r="E11" s="388" t="str">
        <f>'New Hire'!F10</f>
        <v>3</v>
      </c>
      <c r="F11" s="388">
        <f>'New Hire'!G10</f>
        <v>4</v>
      </c>
      <c r="G11" s="388" t="str">
        <f>'New Hire'!H10</f>
        <v>C</v>
      </c>
      <c r="H11" s="388" t="str">
        <f>'New Hire'!I10</f>
        <v>I</v>
      </c>
      <c r="I11" s="388" t="str">
        <f>'New Hire'!J10</f>
        <v>S</v>
      </c>
      <c r="J11" s="388" t="str">
        <f>'New Hire'!K10</f>
        <v>P</v>
      </c>
      <c r="K11" s="388" t="str">
        <f>'New Hire'!L10</f>
        <v>1</v>
      </c>
      <c r="L11" s="388" t="str">
        <f>'New Hire'!M10</f>
        <v>1</v>
      </c>
      <c r="M11" s="388">
        <f>'New Hire'!N10</f>
        <v>3</v>
      </c>
      <c r="N11" s="388">
        <f>'New Hire'!O10</f>
        <v>3</v>
      </c>
      <c r="O11" s="389" t="str">
        <f>'New Hire'!P10</f>
        <v>C</v>
      </c>
      <c r="P11" s="15"/>
      <c r="Q11" s="20"/>
      <c r="R11" s="20"/>
      <c r="S11" s="20"/>
      <c r="T11" s="20"/>
      <c r="U11" s="20"/>
      <c r="V11" s="32"/>
      <c r="W11" s="20"/>
      <c r="X11" s="725"/>
      <c r="Y11" s="726"/>
      <c r="Z11" s="726"/>
      <c r="AA11" s="727"/>
      <c r="AB11" s="20"/>
      <c r="AC11" s="15"/>
    </row>
    <row r="12" spans="1:29" ht="12.75" customHeight="1">
      <c r="A12" s="424" t="s">
        <v>492</v>
      </c>
      <c r="B12" s="391" t="str">
        <f>'New Hire'!C11</f>
        <v>;P</v>
      </c>
      <c r="C12" s="391" t="str">
        <f>'New Hire'!D11</f>
        <v>;A</v>
      </c>
      <c r="D12" s="391" t="str">
        <f>'New Hire'!E11</f>
        <v>;E</v>
      </c>
      <c r="E12" s="391" t="str">
        <f>'New Hire'!F11</f>
        <v>;I</v>
      </c>
      <c r="F12" s="391" t="str">
        <f>'New Hire'!G11</f>
        <v>;P</v>
      </c>
      <c r="G12" s="391" t="str">
        <f>'New Hire'!H11</f>
        <v>;A</v>
      </c>
      <c r="H12" s="391" t="str">
        <f>'New Hire'!I11</f>
        <v>;A</v>
      </c>
      <c r="I12" s="391" t="str">
        <f>'New Hire'!J11</f>
        <v>;V</v>
      </c>
      <c r="J12" s="391" t="str">
        <f>'New Hire'!K11</f>
        <v>;P</v>
      </c>
      <c r="K12" s="391" t="str">
        <f>'New Hire'!L11</f>
        <v>;A</v>
      </c>
      <c r="L12" s="391" t="str">
        <f>'New Hire'!M11</f>
        <v>;I</v>
      </c>
      <c r="M12" s="391" t="str">
        <f>'New Hire'!N11</f>
        <v>;P</v>
      </c>
      <c r="N12" s="391" t="str">
        <f>'New Hire'!O11</f>
        <v>;I</v>
      </c>
      <c r="O12" s="392" t="str">
        <f>'New Hire'!P11</f>
        <v>;I</v>
      </c>
      <c r="P12" s="15"/>
      <c r="Q12" s="20"/>
      <c r="R12" s="20"/>
      <c r="S12" s="20"/>
      <c r="T12" s="20"/>
      <c r="U12" s="20"/>
      <c r="V12" s="32"/>
      <c r="W12" s="20"/>
      <c r="X12" s="728"/>
      <c r="Y12" s="729"/>
      <c r="Z12" s="729"/>
      <c r="AA12" s="730"/>
      <c r="AB12" s="20"/>
      <c r="AC12" s="15"/>
    </row>
    <row r="13" spans="1:29">
      <c r="A13" s="457" t="s">
        <v>477</v>
      </c>
      <c r="B13" s="338">
        <f>'New Hire'!C26</f>
        <v>100</v>
      </c>
      <c r="C13" s="338">
        <f>'New Hire'!D26</f>
        <v>50</v>
      </c>
      <c r="D13" s="338">
        <f>'New Hire'!E26</f>
        <v>100</v>
      </c>
      <c r="E13" s="338">
        <f>'New Hire'!F26</f>
        <v>100</v>
      </c>
      <c r="F13" s="338">
        <f>'New Hire'!G26</f>
        <v>100</v>
      </c>
      <c r="G13" s="338">
        <f>'New Hire'!H26</f>
        <v>100</v>
      </c>
      <c r="H13" s="338">
        <f>'New Hire'!I26</f>
        <v>50</v>
      </c>
      <c r="I13" s="338">
        <f>'New Hire'!J26</f>
        <v>100</v>
      </c>
      <c r="J13" s="338">
        <f>'New Hire'!K26</f>
        <v>50</v>
      </c>
      <c r="K13" s="338">
        <f>'New Hire'!L26</f>
        <v>100</v>
      </c>
      <c r="L13" s="338">
        <f>'New Hire'!M26</f>
        <v>100</v>
      </c>
      <c r="M13" s="338">
        <f>'New Hire'!N26</f>
        <v>100</v>
      </c>
      <c r="N13" s="338">
        <f>'New Hire'!O26</f>
        <v>100</v>
      </c>
      <c r="O13" s="395">
        <f>'New Hire'!P26</f>
        <v>100</v>
      </c>
      <c r="P13" s="15"/>
      <c r="Q13" s="20"/>
      <c r="R13" s="20"/>
      <c r="S13" s="20"/>
      <c r="T13" s="20"/>
      <c r="U13" s="20"/>
      <c r="V13" s="23"/>
      <c r="W13" s="19"/>
      <c r="X13" s="19"/>
      <c r="Y13" s="19"/>
      <c r="Z13" s="19"/>
      <c r="AA13" s="19"/>
      <c r="AB13" s="19"/>
      <c r="AC13" s="31"/>
    </row>
    <row r="14" spans="1:29">
      <c r="A14" s="424" t="s">
        <v>481</v>
      </c>
      <c r="B14" s="338">
        <f t="shared" ref="B14:O14" si="0">NETWORKDAYS(B10,$A$6)</f>
        <v>20</v>
      </c>
      <c r="C14" s="338">
        <f t="shared" si="0"/>
        <v>20</v>
      </c>
      <c r="D14" s="338">
        <f t="shared" si="0"/>
        <v>20</v>
      </c>
      <c r="E14" s="338">
        <f t="shared" si="0"/>
        <v>20</v>
      </c>
      <c r="F14" s="338">
        <f t="shared" si="0"/>
        <v>20</v>
      </c>
      <c r="G14" s="338">
        <f t="shared" si="0"/>
        <v>20</v>
      </c>
      <c r="H14" s="338">
        <f t="shared" si="0"/>
        <v>20</v>
      </c>
      <c r="I14" s="338">
        <f t="shared" si="0"/>
        <v>20</v>
      </c>
      <c r="J14" s="338">
        <f t="shared" si="0"/>
        <v>20</v>
      </c>
      <c r="K14" s="338">
        <f t="shared" si="0"/>
        <v>20</v>
      </c>
      <c r="L14" s="338">
        <f t="shared" si="0"/>
        <v>20</v>
      </c>
      <c r="M14" s="338">
        <f t="shared" si="0"/>
        <v>20</v>
      </c>
      <c r="N14" s="338">
        <f t="shared" si="0"/>
        <v>20</v>
      </c>
      <c r="O14" s="395">
        <f t="shared" si="0"/>
        <v>20</v>
      </c>
      <c r="P14" s="15"/>
      <c r="Q14" s="20"/>
      <c r="R14" s="20"/>
      <c r="S14" s="20"/>
      <c r="T14" s="20"/>
      <c r="U14" s="20"/>
      <c r="V14" s="23"/>
      <c r="W14" s="19"/>
      <c r="X14" s="19"/>
      <c r="Y14" s="19"/>
      <c r="Z14" s="19"/>
      <c r="AA14" s="19"/>
      <c r="AB14" s="19"/>
      <c r="AC14" s="31"/>
    </row>
    <row r="15" spans="1:29">
      <c r="A15" s="424" t="s">
        <v>634</v>
      </c>
      <c r="B15" s="338">
        <f>NETWORKDAYS(EOMONTH($A$6,-1)+1,EOMONTH($A$6,0))</f>
        <v>20</v>
      </c>
      <c r="C15" s="338">
        <f t="shared" ref="C15:O15" si="1">NETWORKDAYS(EOMONTH($A$6,-1)+1,EOMONTH($A$6,0))</f>
        <v>20</v>
      </c>
      <c r="D15" s="338">
        <f t="shared" si="1"/>
        <v>20</v>
      </c>
      <c r="E15" s="338">
        <f t="shared" si="1"/>
        <v>20</v>
      </c>
      <c r="F15" s="338">
        <f t="shared" si="1"/>
        <v>20</v>
      </c>
      <c r="G15" s="338">
        <f t="shared" si="1"/>
        <v>20</v>
      </c>
      <c r="H15" s="338">
        <f t="shared" si="1"/>
        <v>20</v>
      </c>
      <c r="I15" s="338">
        <f t="shared" si="1"/>
        <v>20</v>
      </c>
      <c r="J15" s="338">
        <f t="shared" si="1"/>
        <v>20</v>
      </c>
      <c r="K15" s="338">
        <f t="shared" si="1"/>
        <v>20</v>
      </c>
      <c r="L15" s="338">
        <f t="shared" si="1"/>
        <v>20</v>
      </c>
      <c r="M15" s="338">
        <f t="shared" si="1"/>
        <v>20</v>
      </c>
      <c r="N15" s="338">
        <f t="shared" si="1"/>
        <v>20</v>
      </c>
      <c r="O15" s="395">
        <f t="shared" si="1"/>
        <v>20</v>
      </c>
      <c r="P15" s="15"/>
      <c r="Q15" s="20"/>
      <c r="R15" s="20"/>
      <c r="S15" s="20"/>
      <c r="T15" s="20"/>
      <c r="U15" s="20"/>
      <c r="V15" s="23"/>
      <c r="W15" s="19"/>
      <c r="X15" s="19"/>
      <c r="Y15" s="19"/>
      <c r="Z15" s="19"/>
      <c r="AA15" s="19"/>
      <c r="AB15" s="19"/>
      <c r="AC15" s="31"/>
    </row>
    <row r="16" spans="1:29">
      <c r="A16" s="424" t="s">
        <v>513</v>
      </c>
      <c r="B16" s="335">
        <f t="shared" ref="B16:O16" si="2">_xlfn.DAYS($A$6,B10)+1</f>
        <v>28</v>
      </c>
      <c r="C16" s="335">
        <f t="shared" si="2"/>
        <v>28</v>
      </c>
      <c r="D16" s="335">
        <f t="shared" si="2"/>
        <v>28</v>
      </c>
      <c r="E16" s="335">
        <f t="shared" si="2"/>
        <v>28</v>
      </c>
      <c r="F16" s="335">
        <f t="shared" si="2"/>
        <v>28</v>
      </c>
      <c r="G16" s="335">
        <f t="shared" si="2"/>
        <v>28</v>
      </c>
      <c r="H16" s="335">
        <f t="shared" si="2"/>
        <v>28</v>
      </c>
      <c r="I16" s="335">
        <f t="shared" si="2"/>
        <v>28</v>
      </c>
      <c r="J16" s="335">
        <f t="shared" si="2"/>
        <v>28</v>
      </c>
      <c r="K16" s="335">
        <f t="shared" si="2"/>
        <v>28</v>
      </c>
      <c r="L16" s="335">
        <f t="shared" si="2"/>
        <v>28</v>
      </c>
      <c r="M16" s="335">
        <f t="shared" si="2"/>
        <v>28</v>
      </c>
      <c r="N16" s="335">
        <f t="shared" si="2"/>
        <v>28</v>
      </c>
      <c r="O16" s="397">
        <f t="shared" si="2"/>
        <v>28</v>
      </c>
      <c r="P16" s="15"/>
      <c r="Q16" s="20"/>
      <c r="R16" s="20"/>
      <c r="S16" s="20"/>
      <c r="T16" s="20"/>
      <c r="U16" s="20"/>
      <c r="V16" s="23"/>
      <c r="W16" s="19"/>
      <c r="X16" s="19"/>
      <c r="Y16" s="19"/>
      <c r="Z16" s="19"/>
      <c r="AA16" s="19"/>
      <c r="AB16" s="19"/>
      <c r="AC16" s="31"/>
    </row>
    <row r="17" spans="1:29">
      <c r="A17" s="424" t="s">
        <v>533</v>
      </c>
      <c r="B17" s="337">
        <f>DATEDIF('New Hire'!C41,$A$6,"Y")</f>
        <v>9</v>
      </c>
      <c r="C17" s="337">
        <f>DATEDIF('New Hire'!D41,$A$6,"Y")</f>
        <v>13</v>
      </c>
      <c r="D17" s="337">
        <f>DATEDIF('New Hire'!E41,$A$6,"Y")</f>
        <v>0</v>
      </c>
      <c r="E17" s="337">
        <f>DATEDIF('New Hire'!F41,$A$6,"Y")</f>
        <v>3</v>
      </c>
      <c r="F17" s="337">
        <f>DATEDIF('New Hire'!G41,$A$6,"Y")</f>
        <v>9</v>
      </c>
      <c r="G17" s="337">
        <f>DATEDIF('New Hire'!H41,$A$6,"Y")</f>
        <v>0</v>
      </c>
      <c r="H17" s="337">
        <f>DATEDIF('New Hire'!I41,$A$6,"Y")</f>
        <v>14</v>
      </c>
      <c r="I17" s="337">
        <f>DATEDIF('New Hire'!J41,$A$6,"Y")</f>
        <v>0</v>
      </c>
      <c r="J17" s="337">
        <f>DATEDIF('New Hire'!K41,$A$6,"Y")</f>
        <v>0</v>
      </c>
      <c r="K17" s="337">
        <f>DATEDIF('New Hire'!L41,$A$6,"Y")</f>
        <v>9</v>
      </c>
      <c r="L17" s="337">
        <f>DATEDIF('New Hire'!M41,$A$6,"Y")</f>
        <v>4</v>
      </c>
      <c r="M17" s="337">
        <f>DATEDIF('New Hire'!N41,$A$6,"Y")</f>
        <v>0</v>
      </c>
      <c r="N17" s="337">
        <f>DATEDIF('New Hire'!O41,$A$6,"Y")</f>
        <v>11</v>
      </c>
      <c r="O17" s="393">
        <f>DATEDIF('New Hire'!P41,$A$6,"Y")</f>
        <v>0</v>
      </c>
      <c r="P17" s="15"/>
      <c r="Q17" s="20"/>
      <c r="R17" s="20"/>
      <c r="S17" s="20"/>
      <c r="T17" s="20"/>
      <c r="U17" s="20"/>
      <c r="V17" s="23"/>
      <c r="W17" s="19"/>
      <c r="X17" s="19"/>
      <c r="Y17" s="19"/>
      <c r="Z17" s="19"/>
      <c r="AA17" s="19"/>
      <c r="AB17" s="19"/>
      <c r="AC17" s="31"/>
    </row>
    <row r="18" spans="1:29">
      <c r="A18" s="424" t="s">
        <v>566</v>
      </c>
      <c r="B18" s="337" t="str">
        <f>'New Hire'!C54</f>
        <v>A</v>
      </c>
      <c r="C18" s="337" t="str">
        <f>'New Hire'!D54</f>
        <v>A</v>
      </c>
      <c r="D18" s="337" t="str">
        <f>'New Hire'!E54</f>
        <v>A</v>
      </c>
      <c r="E18" s="337" t="str">
        <f>'New Hire'!F54</f>
        <v>B</v>
      </c>
      <c r="F18" s="337" t="str">
        <f>'New Hire'!G54</f>
        <v>B</v>
      </c>
      <c r="G18" s="337" t="str">
        <f>'New Hire'!H54</f>
        <v>C</v>
      </c>
      <c r="H18" s="337" t="str">
        <f>'New Hire'!I54</f>
        <v>D</v>
      </c>
      <c r="I18" s="337" t="str">
        <f>'New Hire'!J54</f>
        <v>D</v>
      </c>
      <c r="J18" s="337" t="str">
        <f>'New Hire'!K54</f>
        <v>A</v>
      </c>
      <c r="K18" s="337" t="str">
        <f>'New Hire'!L54</f>
        <v>A</v>
      </c>
      <c r="L18" s="337" t="str">
        <f>'New Hire'!M54</f>
        <v>A</v>
      </c>
      <c r="M18" s="337" t="str">
        <f>'New Hire'!N54</f>
        <v>A</v>
      </c>
      <c r="N18" s="337" t="str">
        <f>'New Hire'!O54</f>
        <v>A</v>
      </c>
      <c r="O18" s="393" t="str">
        <f>'New Hire'!P54</f>
        <v>B</v>
      </c>
      <c r="P18" s="15"/>
      <c r="Q18" s="20"/>
      <c r="R18" s="20"/>
      <c r="S18" s="20"/>
      <c r="T18" s="20"/>
      <c r="U18" s="20"/>
      <c r="V18" s="23"/>
      <c r="W18" s="19"/>
      <c r="X18" s="19"/>
      <c r="Y18" s="19"/>
      <c r="Z18" s="19"/>
      <c r="AA18" s="19"/>
      <c r="AB18" s="19"/>
      <c r="AC18" s="31"/>
    </row>
    <row r="19" spans="1:29">
      <c r="A19" s="458" t="s">
        <v>107</v>
      </c>
      <c r="B19" s="460">
        <v>1</v>
      </c>
      <c r="C19" s="89">
        <v>2</v>
      </c>
      <c r="D19" s="89">
        <v>1</v>
      </c>
      <c r="E19" s="89">
        <v>3</v>
      </c>
      <c r="F19" s="89">
        <v>0</v>
      </c>
      <c r="G19" s="89">
        <v>0</v>
      </c>
      <c r="H19" s="89">
        <v>2</v>
      </c>
      <c r="I19" s="89">
        <v>0</v>
      </c>
      <c r="J19" s="89">
        <v>0</v>
      </c>
      <c r="K19" s="89">
        <v>0</v>
      </c>
      <c r="L19" s="89">
        <v>0</v>
      </c>
      <c r="M19" s="89">
        <v>0</v>
      </c>
      <c r="N19" s="89">
        <v>0</v>
      </c>
      <c r="O19" s="398">
        <v>0</v>
      </c>
      <c r="P19" s="15"/>
      <c r="Q19" s="20"/>
      <c r="R19" s="20"/>
      <c r="S19" s="20"/>
      <c r="T19" s="20"/>
      <c r="U19" s="20"/>
      <c r="V19" s="23"/>
      <c r="W19" s="19"/>
      <c r="X19" s="19"/>
      <c r="Y19" s="19"/>
      <c r="Z19" s="19"/>
      <c r="AA19" s="19"/>
      <c r="AB19" s="19"/>
      <c r="AC19" s="31"/>
    </row>
    <row r="20" spans="1:29" ht="15.6">
      <c r="A20" s="459" t="s">
        <v>113</v>
      </c>
      <c r="B20" s="461">
        <f>3600000*B19</f>
        <v>3600000</v>
      </c>
      <c r="C20" s="90">
        <f t="shared" ref="C20:O20" si="3">3600000*C19</f>
        <v>7200000</v>
      </c>
      <c r="D20" s="90">
        <f t="shared" si="3"/>
        <v>3600000</v>
      </c>
      <c r="E20" s="90">
        <f t="shared" si="3"/>
        <v>10800000</v>
      </c>
      <c r="F20" s="90">
        <f t="shared" si="3"/>
        <v>0</v>
      </c>
      <c r="G20" s="90">
        <f t="shared" si="3"/>
        <v>0</v>
      </c>
      <c r="H20" s="90">
        <f t="shared" si="3"/>
        <v>7200000</v>
      </c>
      <c r="I20" s="90">
        <f t="shared" si="3"/>
        <v>0</v>
      </c>
      <c r="J20" s="90">
        <f t="shared" si="3"/>
        <v>0</v>
      </c>
      <c r="K20" s="90">
        <f t="shared" si="3"/>
        <v>0</v>
      </c>
      <c r="L20" s="90">
        <f t="shared" si="3"/>
        <v>0</v>
      </c>
      <c r="M20" s="90">
        <f t="shared" si="3"/>
        <v>0</v>
      </c>
      <c r="N20" s="90">
        <f t="shared" si="3"/>
        <v>0</v>
      </c>
      <c r="O20" s="399">
        <f t="shared" si="3"/>
        <v>0</v>
      </c>
      <c r="P20" s="15"/>
      <c r="Q20" s="20"/>
      <c r="R20" s="20"/>
      <c r="S20" s="20"/>
      <c r="T20" s="20"/>
      <c r="U20" s="20"/>
      <c r="V20" s="40"/>
      <c r="W20" s="41"/>
      <c r="X20" s="19"/>
      <c r="Y20" s="19"/>
      <c r="Z20" s="19"/>
      <c r="AA20" s="19"/>
      <c r="AB20" s="16"/>
      <c r="AC20" s="17"/>
    </row>
    <row r="21" spans="1:29">
      <c r="A21" s="459" t="s">
        <v>114</v>
      </c>
      <c r="B21" s="90">
        <v>9000000</v>
      </c>
      <c r="C21" s="90">
        <v>9000000</v>
      </c>
      <c r="D21" s="90">
        <v>9000000</v>
      </c>
      <c r="E21" s="90">
        <v>9000000</v>
      </c>
      <c r="F21" s="90">
        <v>9000000</v>
      </c>
      <c r="G21" s="90">
        <v>9000000</v>
      </c>
      <c r="H21" s="90">
        <v>9000000</v>
      </c>
      <c r="I21" s="90">
        <v>9000000</v>
      </c>
      <c r="J21" s="90">
        <v>9000000</v>
      </c>
      <c r="K21" s="90">
        <v>9000000</v>
      </c>
      <c r="L21" s="90">
        <v>9000000</v>
      </c>
      <c r="M21" s="90">
        <v>9000000</v>
      </c>
      <c r="N21" s="90">
        <v>9000000</v>
      </c>
      <c r="O21" s="399">
        <v>9000000</v>
      </c>
      <c r="P21" s="15"/>
      <c r="Q21" s="20"/>
      <c r="R21" s="20"/>
      <c r="S21" s="20"/>
      <c r="T21" s="20"/>
      <c r="U21" s="20"/>
      <c r="V21" s="50"/>
      <c r="W21" s="44"/>
      <c r="X21" s="44"/>
      <c r="Y21" s="44"/>
      <c r="Z21" s="44"/>
      <c r="AA21" s="44"/>
      <c r="AB21" s="44"/>
      <c r="AC21" s="51"/>
    </row>
    <row r="22" spans="1:29" ht="15.6">
      <c r="A22" s="413" t="s">
        <v>53</v>
      </c>
      <c r="B22" s="64"/>
      <c r="C22" s="65"/>
      <c r="D22" s="65"/>
      <c r="E22" s="66"/>
      <c r="F22" s="65"/>
      <c r="G22" s="65"/>
      <c r="H22" s="21"/>
      <c r="I22" s="65"/>
      <c r="J22" s="65"/>
      <c r="K22" s="66"/>
      <c r="L22" s="66"/>
      <c r="M22" s="66"/>
      <c r="N22" s="66"/>
      <c r="O22" s="382"/>
      <c r="P22" s="382"/>
      <c r="Q22" s="66"/>
      <c r="R22" s="66"/>
      <c r="S22" s="66"/>
      <c r="T22" s="66"/>
      <c r="U22" s="66"/>
      <c r="V22" s="118" t="s">
        <v>57</v>
      </c>
      <c r="W22" s="119" t="s">
        <v>67</v>
      </c>
      <c r="X22" s="119" t="s">
        <v>69</v>
      </c>
      <c r="Y22" s="119" t="s">
        <v>70</v>
      </c>
      <c r="Z22" s="119" t="s">
        <v>56</v>
      </c>
      <c r="AA22" s="119" t="s">
        <v>54</v>
      </c>
      <c r="AB22" s="119" t="s">
        <v>58</v>
      </c>
      <c r="AC22" s="120" t="s">
        <v>59</v>
      </c>
    </row>
    <row r="23" spans="1:29">
      <c r="A23" s="414" t="s">
        <v>55</v>
      </c>
      <c r="B23" s="64"/>
      <c r="C23" s="65"/>
      <c r="D23" s="65"/>
      <c r="E23" s="66"/>
      <c r="F23" s="65"/>
      <c r="G23" s="65"/>
      <c r="H23" s="21"/>
      <c r="I23" s="65"/>
      <c r="J23" s="65"/>
      <c r="K23" s="66"/>
      <c r="L23" s="66"/>
      <c r="M23" s="66"/>
      <c r="N23" s="66"/>
      <c r="O23" s="382"/>
      <c r="P23" s="382"/>
      <c r="Q23" s="66"/>
      <c r="R23" s="66"/>
      <c r="S23" s="66"/>
      <c r="T23" s="66"/>
      <c r="U23" s="66"/>
      <c r="V23" s="356" t="s">
        <v>2</v>
      </c>
      <c r="W23" s="357">
        <v>91999901</v>
      </c>
      <c r="X23" s="358" t="s">
        <v>507</v>
      </c>
      <c r="Y23" s="358" t="s">
        <v>508</v>
      </c>
      <c r="Z23" s="359" t="s">
        <v>509</v>
      </c>
      <c r="AA23" s="360">
        <v>8000000</v>
      </c>
      <c r="AB23" s="358"/>
      <c r="AC23" s="361"/>
    </row>
    <row r="24" spans="1:29">
      <c r="A24" s="445" t="s">
        <v>479</v>
      </c>
      <c r="B24" s="332">
        <f t="shared" ref="B24:O24" si="4">IF(OR(B18="A",B18="B"),IF(B11&lt;&gt;"C",ROUND(B128*B88,0),0),IF(B11&lt;&gt;"C",B143,0))</f>
        <v>5000000</v>
      </c>
      <c r="C24" s="332">
        <f t="shared" si="4"/>
        <v>4500000</v>
      </c>
      <c r="D24" s="332">
        <f t="shared" si="4"/>
        <v>7000000</v>
      </c>
      <c r="E24" s="332">
        <f t="shared" si="4"/>
        <v>9000000</v>
      </c>
      <c r="F24" s="332">
        <f t="shared" si="4"/>
        <v>14000000</v>
      </c>
      <c r="G24" s="332">
        <f t="shared" si="4"/>
        <v>0</v>
      </c>
      <c r="H24" s="332">
        <f t="shared" si="4"/>
        <v>109063500</v>
      </c>
      <c r="I24" s="332">
        <f t="shared" si="4"/>
        <v>85858500</v>
      </c>
      <c r="J24" s="332">
        <f t="shared" si="4"/>
        <v>50000000</v>
      </c>
      <c r="K24" s="332">
        <f t="shared" si="4"/>
        <v>8000000</v>
      </c>
      <c r="L24" s="332">
        <f t="shared" si="4"/>
        <v>90000000</v>
      </c>
      <c r="M24" s="332">
        <f t="shared" si="4"/>
        <v>5000000</v>
      </c>
      <c r="N24" s="332">
        <f t="shared" si="4"/>
        <v>6500000</v>
      </c>
      <c r="O24" s="400">
        <f t="shared" si="4"/>
        <v>0</v>
      </c>
      <c r="P24" s="355">
        <f t="shared" ref="P24:P34" si="5">SUM(B24:O24)</f>
        <v>393922000</v>
      </c>
      <c r="Q24" s="90" t="s">
        <v>525</v>
      </c>
      <c r="R24" s="90" t="s">
        <v>525</v>
      </c>
      <c r="S24" s="90" t="s">
        <v>525</v>
      </c>
      <c r="T24" s="90" t="s">
        <v>525</v>
      </c>
      <c r="U24" s="90" t="s">
        <v>525</v>
      </c>
      <c r="V24" s="356" t="s">
        <v>2</v>
      </c>
      <c r="W24" s="357">
        <v>91999902</v>
      </c>
      <c r="X24" s="358" t="s">
        <v>507</v>
      </c>
      <c r="Y24" s="358" t="s">
        <v>508</v>
      </c>
      <c r="Z24" s="359" t="s">
        <v>509</v>
      </c>
      <c r="AA24" s="360">
        <v>8000000</v>
      </c>
      <c r="AB24" s="358"/>
      <c r="AC24" s="361"/>
    </row>
    <row r="25" spans="1:29">
      <c r="A25" s="463" t="s">
        <v>636</v>
      </c>
      <c r="B25" s="438"/>
      <c r="C25" s="438"/>
      <c r="D25" s="438"/>
      <c r="E25" s="438"/>
      <c r="F25" s="438"/>
      <c r="G25" s="438"/>
      <c r="H25" s="438"/>
      <c r="I25" s="438"/>
      <c r="J25" s="438">
        <f>'UAT1-Jan'!J24</f>
        <v>6521740</v>
      </c>
      <c r="K25" s="438"/>
      <c r="L25" s="438"/>
      <c r="M25" s="438"/>
      <c r="N25" s="438"/>
      <c r="O25" s="511"/>
      <c r="P25" s="464">
        <f t="shared" si="5"/>
        <v>6521740</v>
      </c>
      <c r="Q25" s="435" t="s">
        <v>525</v>
      </c>
      <c r="R25" s="435" t="s">
        <v>525</v>
      </c>
      <c r="S25" s="435" t="s">
        <v>525</v>
      </c>
      <c r="T25" s="435" t="s">
        <v>525</v>
      </c>
      <c r="U25" s="435" t="s">
        <v>525</v>
      </c>
      <c r="V25" s="356" t="s">
        <v>2</v>
      </c>
      <c r="W25" s="357">
        <v>91999904</v>
      </c>
      <c r="X25" s="358" t="s">
        <v>511</v>
      </c>
      <c r="Y25" s="358" t="s">
        <v>508</v>
      </c>
      <c r="Z25" s="359" t="s">
        <v>509</v>
      </c>
      <c r="AA25" s="360">
        <v>8000000</v>
      </c>
      <c r="AB25" s="358"/>
      <c r="AC25" s="361"/>
    </row>
    <row r="26" spans="1:29">
      <c r="A26" s="451" t="s">
        <v>496</v>
      </c>
      <c r="B26" s="332">
        <f t="shared" ref="B26:O26" si="6">IF(OR(B18="A",B18="B"),ROUND(B130*B88,0),ROUND(B130*B88*$B$4,0))</f>
        <v>500000</v>
      </c>
      <c r="C26" s="332">
        <f t="shared" si="6"/>
        <v>450000</v>
      </c>
      <c r="D26" s="332">
        <f t="shared" si="6"/>
        <v>700000</v>
      </c>
      <c r="E26" s="332">
        <f t="shared" si="6"/>
        <v>0</v>
      </c>
      <c r="F26" s="332">
        <f t="shared" si="6"/>
        <v>0</v>
      </c>
      <c r="G26" s="332">
        <f t="shared" si="6"/>
        <v>0</v>
      </c>
      <c r="H26" s="332">
        <f t="shared" si="6"/>
        <v>11602500</v>
      </c>
      <c r="I26" s="332">
        <f t="shared" si="6"/>
        <v>0</v>
      </c>
      <c r="J26" s="332">
        <f t="shared" si="6"/>
        <v>5000000</v>
      </c>
      <c r="K26" s="332">
        <f t="shared" si="6"/>
        <v>800000</v>
      </c>
      <c r="L26" s="332">
        <f t="shared" si="6"/>
        <v>0</v>
      </c>
      <c r="M26" s="332">
        <f t="shared" si="6"/>
        <v>1000000</v>
      </c>
      <c r="N26" s="332">
        <f t="shared" si="6"/>
        <v>1000000</v>
      </c>
      <c r="O26" s="400">
        <f t="shared" si="6"/>
        <v>0</v>
      </c>
      <c r="P26" s="355">
        <f t="shared" si="5"/>
        <v>21052500</v>
      </c>
      <c r="Q26" s="379" t="s">
        <v>525</v>
      </c>
      <c r="R26" s="379" t="s">
        <v>525</v>
      </c>
      <c r="S26" s="379" t="s">
        <v>525</v>
      </c>
      <c r="T26" s="379" t="s">
        <v>525</v>
      </c>
      <c r="U26" s="90" t="s">
        <v>525</v>
      </c>
      <c r="V26" s="356" t="s">
        <v>2</v>
      </c>
      <c r="W26" s="357">
        <v>91999905</v>
      </c>
      <c r="X26" s="358" t="s">
        <v>507</v>
      </c>
      <c r="Y26" s="358" t="s">
        <v>508</v>
      </c>
      <c r="Z26" s="359" t="s">
        <v>509</v>
      </c>
      <c r="AA26" s="360">
        <v>8000000</v>
      </c>
      <c r="AB26" s="358"/>
      <c r="AC26" s="361"/>
    </row>
    <row r="27" spans="1:29">
      <c r="A27" s="465" t="s">
        <v>637</v>
      </c>
      <c r="B27" s="438"/>
      <c r="C27" s="438"/>
      <c r="D27" s="438"/>
      <c r="E27" s="438"/>
      <c r="F27" s="438"/>
      <c r="G27" s="438"/>
      <c r="H27" s="438"/>
      <c r="I27" s="438"/>
      <c r="J27" s="438">
        <f>'UAT1-Jan'!J25</f>
        <v>652174</v>
      </c>
      <c r="K27" s="438"/>
      <c r="L27" s="438"/>
      <c r="M27" s="438"/>
      <c r="N27" s="438"/>
      <c r="O27" s="511"/>
      <c r="P27" s="464">
        <f t="shared" si="5"/>
        <v>652174</v>
      </c>
      <c r="Q27" s="446" t="s">
        <v>525</v>
      </c>
      <c r="R27" s="446" t="s">
        <v>525</v>
      </c>
      <c r="S27" s="446" t="s">
        <v>525</v>
      </c>
      <c r="T27" s="446" t="s">
        <v>525</v>
      </c>
      <c r="U27" s="435" t="s">
        <v>525</v>
      </c>
      <c r="V27" s="356" t="s">
        <v>2</v>
      </c>
      <c r="W27" s="357">
        <v>91999907</v>
      </c>
      <c r="X27" s="358" t="s">
        <v>507</v>
      </c>
      <c r="Y27" s="358" t="s">
        <v>508</v>
      </c>
      <c r="Z27" s="359" t="s">
        <v>509</v>
      </c>
      <c r="AA27" s="360">
        <v>8000000</v>
      </c>
      <c r="AB27" s="358"/>
      <c r="AC27" s="361"/>
    </row>
    <row r="28" spans="1:29">
      <c r="A28" s="451" t="s">
        <v>569</v>
      </c>
      <c r="B28" s="332">
        <f t="shared" ref="B28:O28" si="7">IF(OR(B18="A",B18="B"),ROUND(B131*B88,0),ROUND(B131*$B$4*B88,0))</f>
        <v>1000000</v>
      </c>
      <c r="C28" s="332">
        <f t="shared" si="7"/>
        <v>900000</v>
      </c>
      <c r="D28" s="332">
        <f t="shared" si="7"/>
        <v>1400000</v>
      </c>
      <c r="E28" s="332">
        <f t="shared" si="7"/>
        <v>0</v>
      </c>
      <c r="F28" s="332">
        <f t="shared" si="7"/>
        <v>0</v>
      </c>
      <c r="G28" s="332">
        <f t="shared" si="7"/>
        <v>0</v>
      </c>
      <c r="H28" s="332">
        <f t="shared" si="7"/>
        <v>23205000</v>
      </c>
      <c r="I28" s="332">
        <f t="shared" si="7"/>
        <v>0</v>
      </c>
      <c r="J28" s="332">
        <f t="shared" si="7"/>
        <v>10000000</v>
      </c>
      <c r="K28" s="332">
        <f t="shared" si="7"/>
        <v>1600000</v>
      </c>
      <c r="L28" s="332">
        <f t="shared" si="7"/>
        <v>0</v>
      </c>
      <c r="M28" s="332">
        <f t="shared" si="7"/>
        <v>1500000</v>
      </c>
      <c r="N28" s="332">
        <f t="shared" si="7"/>
        <v>1500000</v>
      </c>
      <c r="O28" s="400">
        <f t="shared" si="7"/>
        <v>0</v>
      </c>
      <c r="P28" s="355">
        <f t="shared" si="5"/>
        <v>41105000</v>
      </c>
      <c r="Q28" s="379" t="s">
        <v>525</v>
      </c>
      <c r="R28" s="379" t="s">
        <v>525</v>
      </c>
      <c r="S28" s="379" t="s">
        <v>525</v>
      </c>
      <c r="T28" s="379" t="s">
        <v>525</v>
      </c>
      <c r="U28" s="90" t="s">
        <v>525</v>
      </c>
      <c r="V28" s="356" t="s">
        <v>2</v>
      </c>
      <c r="W28" s="357">
        <v>91999907</v>
      </c>
      <c r="X28" s="358" t="s">
        <v>507</v>
      </c>
      <c r="Y28" s="358" t="s">
        <v>508</v>
      </c>
      <c r="Z28" s="359" t="s">
        <v>537</v>
      </c>
      <c r="AA28" s="360">
        <v>7000000</v>
      </c>
      <c r="AB28" s="358"/>
      <c r="AC28" s="361"/>
    </row>
    <row r="29" spans="1:29">
      <c r="A29" s="465" t="s">
        <v>638</v>
      </c>
      <c r="B29" s="438"/>
      <c r="C29" s="438"/>
      <c r="D29" s="438"/>
      <c r="E29" s="438"/>
      <c r="F29" s="438"/>
      <c r="G29" s="438"/>
      <c r="H29" s="438"/>
      <c r="I29" s="438"/>
      <c r="J29" s="438">
        <f>'UAT1-Jan'!J26</f>
        <v>1304348</v>
      </c>
      <c r="K29" s="438"/>
      <c r="L29" s="438"/>
      <c r="M29" s="438"/>
      <c r="N29" s="438"/>
      <c r="O29" s="511"/>
      <c r="P29" s="464">
        <f t="shared" si="5"/>
        <v>1304348</v>
      </c>
      <c r="Q29" s="446" t="s">
        <v>525</v>
      </c>
      <c r="R29" s="446" t="s">
        <v>525</v>
      </c>
      <c r="S29" s="446" t="s">
        <v>525</v>
      </c>
      <c r="T29" s="446" t="s">
        <v>525</v>
      </c>
      <c r="U29" s="435" t="s">
        <v>525</v>
      </c>
      <c r="V29" s="356" t="s">
        <v>2</v>
      </c>
      <c r="W29" s="357">
        <v>91999907</v>
      </c>
      <c r="X29" s="358" t="s">
        <v>603</v>
      </c>
      <c r="Y29" s="358" t="s">
        <v>508</v>
      </c>
      <c r="Z29" s="359">
        <v>7065</v>
      </c>
      <c r="AA29" s="360">
        <v>100</v>
      </c>
      <c r="AB29" s="447" t="s">
        <v>542</v>
      </c>
      <c r="AC29" s="448"/>
    </row>
    <row r="30" spans="1:29">
      <c r="A30" s="412" t="s">
        <v>427</v>
      </c>
      <c r="B30" s="331"/>
      <c r="C30" s="332"/>
      <c r="D30" s="332"/>
      <c r="E30" s="340"/>
      <c r="F30" s="332"/>
      <c r="G30" s="332">
        <f>ROUND(G129*B4,0)*AC75</f>
        <v>11602500</v>
      </c>
      <c r="H30" s="332"/>
      <c r="I30" s="332"/>
      <c r="J30" s="332"/>
      <c r="K30" s="340"/>
      <c r="L30" s="340"/>
      <c r="M30" s="340"/>
      <c r="N30" s="340"/>
      <c r="O30" s="401">
        <f>ROUND(AC76*O129,0)</f>
        <v>2000000</v>
      </c>
      <c r="P30" s="355">
        <f t="shared" si="5"/>
        <v>13602500</v>
      </c>
      <c r="Q30" s="379" t="s">
        <v>525</v>
      </c>
      <c r="R30" s="379" t="s">
        <v>525</v>
      </c>
      <c r="S30" s="379"/>
      <c r="T30" s="379"/>
      <c r="U30" s="379"/>
      <c r="V30" s="356" t="s">
        <v>2</v>
      </c>
      <c r="W30" s="357">
        <v>91999908</v>
      </c>
      <c r="X30" s="358" t="s">
        <v>507</v>
      </c>
      <c r="Y30" s="358" t="s">
        <v>508</v>
      </c>
      <c r="Z30" s="359">
        <v>7065</v>
      </c>
      <c r="AA30" s="360">
        <v>100</v>
      </c>
      <c r="AB30" s="447" t="s">
        <v>542</v>
      </c>
      <c r="AC30" s="448"/>
    </row>
    <row r="31" spans="1:29">
      <c r="A31" s="454" t="s">
        <v>495</v>
      </c>
      <c r="B31" s="332">
        <f t="shared" ref="B31:O31" si="8">ROUND(B132*B88,0)</f>
        <v>3000000</v>
      </c>
      <c r="C31" s="332">
        <f t="shared" si="8"/>
        <v>3000000</v>
      </c>
      <c r="D31" s="332">
        <f t="shared" si="8"/>
        <v>3000000</v>
      </c>
      <c r="E31" s="332">
        <f t="shared" si="8"/>
        <v>3000000</v>
      </c>
      <c r="F31" s="332">
        <f t="shared" si="8"/>
        <v>3000000</v>
      </c>
      <c r="G31" s="332">
        <f t="shared" si="8"/>
        <v>0</v>
      </c>
      <c r="H31" s="332">
        <f t="shared" si="8"/>
        <v>0</v>
      </c>
      <c r="I31" s="332">
        <f t="shared" si="8"/>
        <v>0</v>
      </c>
      <c r="J31" s="332">
        <f t="shared" si="8"/>
        <v>0</v>
      </c>
      <c r="K31" s="332">
        <f t="shared" si="8"/>
        <v>0</v>
      </c>
      <c r="L31" s="332">
        <f t="shared" si="8"/>
        <v>0</v>
      </c>
      <c r="M31" s="332">
        <f t="shared" si="8"/>
        <v>0</v>
      </c>
      <c r="N31" s="332">
        <f t="shared" si="8"/>
        <v>0</v>
      </c>
      <c r="O31" s="400">
        <f t="shared" si="8"/>
        <v>0</v>
      </c>
      <c r="P31" s="355">
        <f t="shared" si="5"/>
        <v>15000000</v>
      </c>
      <c r="Q31" s="379" t="s">
        <v>525</v>
      </c>
      <c r="R31" s="379" t="s">
        <v>525</v>
      </c>
      <c r="S31" s="379"/>
      <c r="T31" s="379"/>
      <c r="U31" s="379"/>
      <c r="V31" s="356" t="s">
        <v>2</v>
      </c>
      <c r="W31" s="357">
        <v>91999907</v>
      </c>
      <c r="X31" s="358" t="s">
        <v>603</v>
      </c>
      <c r="Y31" s="358" t="s">
        <v>508</v>
      </c>
      <c r="Z31" s="359">
        <v>7070</v>
      </c>
      <c r="AA31" s="360">
        <v>200</v>
      </c>
      <c r="AB31" s="447" t="s">
        <v>542</v>
      </c>
      <c r="AC31" s="448"/>
    </row>
    <row r="32" spans="1:29">
      <c r="A32" s="415" t="s">
        <v>497</v>
      </c>
      <c r="B32" s="331">
        <f>AA57</f>
        <v>1500000</v>
      </c>
      <c r="C32" s="332">
        <f>AA58</f>
        <v>1500000</v>
      </c>
      <c r="D32" s="332"/>
      <c r="E32" s="340"/>
      <c r="F32" s="332"/>
      <c r="G32" s="332"/>
      <c r="H32" s="332">
        <f>ROUND(AA59*B4,0)</f>
        <v>2320500</v>
      </c>
      <c r="I32" s="332"/>
      <c r="J32" s="332"/>
      <c r="K32" s="340"/>
      <c r="L32" s="340"/>
      <c r="M32" s="340"/>
      <c r="N32" s="340"/>
      <c r="O32" s="401"/>
      <c r="P32" s="355">
        <f t="shared" si="5"/>
        <v>5320500</v>
      </c>
      <c r="Q32" s="379" t="s">
        <v>525</v>
      </c>
      <c r="R32" s="379" t="s">
        <v>525</v>
      </c>
      <c r="S32" s="379"/>
      <c r="T32" s="379"/>
      <c r="U32" s="379"/>
      <c r="V32" s="356" t="s">
        <v>2</v>
      </c>
      <c r="W32" s="357">
        <v>91999908</v>
      </c>
      <c r="X32" s="358" t="s">
        <v>507</v>
      </c>
      <c r="Y32" s="358" t="s">
        <v>508</v>
      </c>
      <c r="Z32" s="359">
        <v>7070</v>
      </c>
      <c r="AA32" s="360">
        <v>200</v>
      </c>
      <c r="AB32" s="447" t="s">
        <v>542</v>
      </c>
      <c r="AC32" s="448"/>
    </row>
    <row r="33" spans="1:29">
      <c r="A33" s="451" t="s">
        <v>499</v>
      </c>
      <c r="B33" s="332">
        <f t="shared" ref="B33:O33" si="9">ROUND(B137*B88,0)</f>
        <v>2000000</v>
      </c>
      <c r="C33" s="332">
        <f t="shared" si="9"/>
        <v>2000000</v>
      </c>
      <c r="D33" s="332">
        <f t="shared" si="9"/>
        <v>2000000</v>
      </c>
      <c r="E33" s="332">
        <f t="shared" si="9"/>
        <v>0</v>
      </c>
      <c r="F33" s="332">
        <f t="shared" si="9"/>
        <v>0</v>
      </c>
      <c r="G33" s="332">
        <f t="shared" si="9"/>
        <v>0</v>
      </c>
      <c r="H33" s="332">
        <f t="shared" si="9"/>
        <v>0</v>
      </c>
      <c r="I33" s="332">
        <f t="shared" si="9"/>
        <v>0</v>
      </c>
      <c r="J33" s="332">
        <f t="shared" si="9"/>
        <v>0</v>
      </c>
      <c r="K33" s="332">
        <f t="shared" si="9"/>
        <v>0</v>
      </c>
      <c r="L33" s="332">
        <f t="shared" si="9"/>
        <v>0</v>
      </c>
      <c r="M33" s="332">
        <f t="shared" si="9"/>
        <v>0</v>
      </c>
      <c r="N33" s="332">
        <f t="shared" si="9"/>
        <v>0</v>
      </c>
      <c r="O33" s="400">
        <f t="shared" si="9"/>
        <v>0</v>
      </c>
      <c r="P33" s="355">
        <f t="shared" si="5"/>
        <v>6000000</v>
      </c>
      <c r="Q33" s="379" t="s">
        <v>525</v>
      </c>
      <c r="R33" s="379" t="s">
        <v>525</v>
      </c>
      <c r="S33" s="379"/>
      <c r="T33" s="379"/>
      <c r="U33" s="379"/>
      <c r="V33" s="356" t="s">
        <v>2</v>
      </c>
      <c r="W33" s="357">
        <v>91999901</v>
      </c>
      <c r="X33" s="358" t="s">
        <v>507</v>
      </c>
      <c r="Y33" s="358" t="s">
        <v>508</v>
      </c>
      <c r="Z33" s="359">
        <v>9140</v>
      </c>
      <c r="AA33" s="360"/>
      <c r="AB33" s="750">
        <v>7.5999999999999998E-2</v>
      </c>
      <c r="AC33" s="448"/>
    </row>
    <row r="34" spans="1:29">
      <c r="A34" s="445" t="s">
        <v>530</v>
      </c>
      <c r="B34" s="332">
        <f t="shared" ref="B34:O34" si="10">IF(OR(B18="A",B18="B"),ROUND(B134*B88,0),ROUND(B134*B88*$B$4,0))</f>
        <v>2000000</v>
      </c>
      <c r="C34" s="332">
        <f t="shared" si="10"/>
        <v>2000000</v>
      </c>
      <c r="D34" s="332">
        <f t="shared" si="10"/>
        <v>2000000</v>
      </c>
      <c r="E34" s="332">
        <f t="shared" si="10"/>
        <v>0</v>
      </c>
      <c r="F34" s="332">
        <f t="shared" si="10"/>
        <v>0</v>
      </c>
      <c r="G34" s="332">
        <f t="shared" si="10"/>
        <v>0</v>
      </c>
      <c r="H34" s="332">
        <f t="shared" si="10"/>
        <v>8121750</v>
      </c>
      <c r="I34" s="332">
        <f t="shared" si="10"/>
        <v>7773675</v>
      </c>
      <c r="J34" s="332">
        <f t="shared" si="10"/>
        <v>0</v>
      </c>
      <c r="K34" s="332">
        <f t="shared" si="10"/>
        <v>0</v>
      </c>
      <c r="L34" s="332">
        <f t="shared" si="10"/>
        <v>0</v>
      </c>
      <c r="M34" s="332">
        <f t="shared" si="10"/>
        <v>0</v>
      </c>
      <c r="N34" s="332">
        <f t="shared" si="10"/>
        <v>0</v>
      </c>
      <c r="O34" s="400">
        <f t="shared" si="10"/>
        <v>0</v>
      </c>
      <c r="P34" s="355">
        <f t="shared" si="5"/>
        <v>21895425</v>
      </c>
      <c r="Q34" s="90" t="s">
        <v>525</v>
      </c>
      <c r="R34" s="90" t="s">
        <v>525</v>
      </c>
      <c r="S34" s="90" t="s">
        <v>525</v>
      </c>
      <c r="T34" s="90" t="s">
        <v>525</v>
      </c>
      <c r="U34" s="90" t="s">
        <v>525</v>
      </c>
      <c r="V34" s="356" t="s">
        <v>2</v>
      </c>
      <c r="W34" s="357">
        <v>91999907</v>
      </c>
      <c r="X34" s="358" t="s">
        <v>507</v>
      </c>
      <c r="Y34" s="358" t="s">
        <v>508</v>
      </c>
      <c r="Z34" s="359">
        <v>9140</v>
      </c>
      <c r="AA34" s="360"/>
      <c r="AB34" s="750">
        <v>0.56000000000000005</v>
      </c>
      <c r="AC34" s="448"/>
    </row>
    <row r="35" spans="1:29">
      <c r="A35" s="412"/>
      <c r="B35" s="331"/>
      <c r="C35" s="332"/>
      <c r="D35" s="332"/>
      <c r="E35" s="332"/>
      <c r="F35" s="332"/>
      <c r="G35" s="332"/>
      <c r="H35" s="332"/>
      <c r="I35" s="332"/>
      <c r="J35" s="332"/>
      <c r="K35" s="332"/>
      <c r="L35" s="332"/>
      <c r="M35" s="332"/>
      <c r="N35" s="332"/>
      <c r="O35" s="400"/>
      <c r="P35" s="355"/>
      <c r="Q35" s="90"/>
      <c r="R35" s="90"/>
      <c r="S35" s="90"/>
      <c r="T35" s="90"/>
      <c r="U35" s="90"/>
      <c r="V35" s="356" t="s">
        <v>2</v>
      </c>
      <c r="W35" s="357">
        <v>91999902</v>
      </c>
      <c r="X35" s="447" t="s">
        <v>507</v>
      </c>
      <c r="Y35" s="358" t="s">
        <v>508</v>
      </c>
      <c r="Z35" s="359">
        <v>9150</v>
      </c>
      <c r="AA35" s="360"/>
      <c r="AB35" s="447">
        <v>1</v>
      </c>
      <c r="AC35" s="448"/>
    </row>
    <row r="36" spans="1:29">
      <c r="A36" s="416" t="s">
        <v>582</v>
      </c>
      <c r="B36" s="331"/>
      <c r="C36" s="332"/>
      <c r="D36" s="332"/>
      <c r="E36" s="340"/>
      <c r="F36" s="332"/>
      <c r="G36" s="332"/>
      <c r="H36" s="332"/>
      <c r="I36" s="332"/>
      <c r="J36" s="332"/>
      <c r="K36" s="340"/>
      <c r="L36" s="340"/>
      <c r="M36" s="340"/>
      <c r="N36" s="340"/>
      <c r="O36" s="401"/>
      <c r="P36" s="355"/>
      <c r="Q36" s="380"/>
      <c r="R36" s="380"/>
      <c r="S36" s="380"/>
      <c r="T36" s="380"/>
      <c r="U36" s="380"/>
      <c r="V36" s="356" t="s">
        <v>2</v>
      </c>
      <c r="W36" s="357">
        <v>91999907</v>
      </c>
      <c r="X36" s="447" t="s">
        <v>507</v>
      </c>
      <c r="Y36" s="358" t="s">
        <v>508</v>
      </c>
      <c r="Z36" s="359">
        <v>9150</v>
      </c>
      <c r="AA36" s="360"/>
      <c r="AB36" s="447">
        <v>1</v>
      </c>
      <c r="AC36" s="448"/>
    </row>
    <row r="37" spans="1:29">
      <c r="A37" s="454" t="s">
        <v>598</v>
      </c>
      <c r="B37" s="332">
        <f t="shared" ref="B37:O37" si="11">ROUND(B135*B88,0)</f>
        <v>1800000</v>
      </c>
      <c r="C37" s="332">
        <f t="shared" si="11"/>
        <v>1800000</v>
      </c>
      <c r="D37" s="332">
        <f t="shared" si="11"/>
        <v>1800000</v>
      </c>
      <c r="E37" s="332">
        <f t="shared" si="11"/>
        <v>1800000</v>
      </c>
      <c r="F37" s="332">
        <f t="shared" si="11"/>
        <v>1800000</v>
      </c>
      <c r="G37" s="332">
        <f t="shared" si="11"/>
        <v>0</v>
      </c>
      <c r="H37" s="332">
        <f t="shared" si="11"/>
        <v>0</v>
      </c>
      <c r="I37" s="332">
        <f t="shared" si="11"/>
        <v>0</v>
      </c>
      <c r="J37" s="332">
        <f t="shared" si="11"/>
        <v>0</v>
      </c>
      <c r="K37" s="332">
        <f t="shared" si="11"/>
        <v>0</v>
      </c>
      <c r="L37" s="332">
        <f t="shared" si="11"/>
        <v>0</v>
      </c>
      <c r="M37" s="332">
        <f t="shared" si="11"/>
        <v>0</v>
      </c>
      <c r="N37" s="332">
        <f t="shared" si="11"/>
        <v>0</v>
      </c>
      <c r="O37" s="400">
        <f t="shared" si="11"/>
        <v>0</v>
      </c>
      <c r="P37" s="355">
        <f>SUM(B37:O37)</f>
        <v>9000000</v>
      </c>
      <c r="Q37" s="379" t="s">
        <v>525</v>
      </c>
      <c r="R37" s="379"/>
      <c r="S37" s="379"/>
      <c r="T37" s="379"/>
      <c r="U37" s="379" t="s">
        <v>525</v>
      </c>
      <c r="V37" s="356" t="s">
        <v>2</v>
      </c>
      <c r="W37" s="357">
        <v>91999913</v>
      </c>
      <c r="X37" s="447" t="s">
        <v>507</v>
      </c>
      <c r="Y37" s="358" t="s">
        <v>508</v>
      </c>
      <c r="Z37" s="359">
        <v>9150</v>
      </c>
      <c r="AA37" s="360"/>
      <c r="AB37" s="447">
        <v>1</v>
      </c>
      <c r="AC37" s="448"/>
    </row>
    <row r="38" spans="1:29">
      <c r="A38" s="451" t="s">
        <v>493</v>
      </c>
      <c r="B38" s="332">
        <f t="shared" ref="B38:O38" si="12">ROUND(B136*B88,0)</f>
        <v>0</v>
      </c>
      <c r="C38" s="332">
        <f t="shared" si="12"/>
        <v>730000</v>
      </c>
      <c r="D38" s="332">
        <f t="shared" si="12"/>
        <v>730000</v>
      </c>
      <c r="E38" s="332">
        <f t="shared" si="12"/>
        <v>0</v>
      </c>
      <c r="F38" s="332">
        <f t="shared" si="12"/>
        <v>0</v>
      </c>
      <c r="G38" s="332">
        <f t="shared" si="12"/>
        <v>0</v>
      </c>
      <c r="H38" s="332">
        <f t="shared" si="12"/>
        <v>0</v>
      </c>
      <c r="I38" s="332">
        <f t="shared" si="12"/>
        <v>0</v>
      </c>
      <c r="J38" s="332">
        <f t="shared" si="12"/>
        <v>0</v>
      </c>
      <c r="K38" s="332">
        <f t="shared" si="12"/>
        <v>730000</v>
      </c>
      <c r="L38" s="332">
        <f t="shared" si="12"/>
        <v>0</v>
      </c>
      <c r="M38" s="332">
        <f t="shared" si="12"/>
        <v>0</v>
      </c>
      <c r="N38" s="332">
        <f t="shared" si="12"/>
        <v>0</v>
      </c>
      <c r="O38" s="400">
        <f t="shared" si="12"/>
        <v>0</v>
      </c>
      <c r="P38" s="355">
        <f>SUM(B38:O38)</f>
        <v>2190000</v>
      </c>
      <c r="Q38" s="379" t="s">
        <v>525</v>
      </c>
      <c r="R38" s="379"/>
      <c r="S38" s="379"/>
      <c r="T38" s="379"/>
      <c r="U38" s="379" t="s">
        <v>525</v>
      </c>
      <c r="V38" s="356" t="s">
        <v>773</v>
      </c>
      <c r="W38" s="357">
        <v>91999905</v>
      </c>
      <c r="X38" s="358" t="s">
        <v>774</v>
      </c>
      <c r="Y38" s="358" t="s">
        <v>508</v>
      </c>
      <c r="Z38" s="359" t="s">
        <v>775</v>
      </c>
      <c r="AA38" s="360"/>
      <c r="AB38" s="447">
        <v>1</v>
      </c>
      <c r="AC38" s="448"/>
    </row>
    <row r="39" spans="1:29">
      <c r="A39" s="451" t="s">
        <v>890</v>
      </c>
      <c r="B39" s="332"/>
      <c r="C39" s="332"/>
      <c r="D39" s="332"/>
      <c r="E39" s="332"/>
      <c r="F39" s="332"/>
      <c r="G39" s="332"/>
      <c r="H39" s="332"/>
      <c r="I39" s="368">
        <f>ROUND(AA69*B4,0)</f>
        <v>3480750</v>
      </c>
      <c r="J39" s="368"/>
      <c r="K39" s="368">
        <f>AA70</f>
        <v>4000000</v>
      </c>
      <c r="L39" s="332"/>
      <c r="M39" s="332"/>
      <c r="N39" s="332"/>
      <c r="O39" s="400"/>
      <c r="P39" s="355">
        <f t="shared" ref="P39" si="13">SUM(B39:O39)-J39</f>
        <v>7480750</v>
      </c>
      <c r="Q39" s="379" t="s">
        <v>525</v>
      </c>
      <c r="R39" s="379"/>
      <c r="S39" s="379"/>
      <c r="T39" s="379"/>
      <c r="U39" s="379"/>
      <c r="V39" s="356" t="s">
        <v>2</v>
      </c>
      <c r="W39" s="357">
        <v>91999901</v>
      </c>
      <c r="X39" s="358" t="s">
        <v>506</v>
      </c>
      <c r="Y39" s="358" t="s">
        <v>531</v>
      </c>
      <c r="Z39" s="359">
        <v>3501</v>
      </c>
      <c r="AA39" s="360">
        <v>1800000</v>
      </c>
      <c r="AB39" s="358"/>
      <c r="AC39" s="361"/>
    </row>
    <row r="40" spans="1:29">
      <c r="A40" s="412"/>
      <c r="B40" s="331"/>
      <c r="C40" s="332"/>
      <c r="D40" s="332"/>
      <c r="E40" s="340"/>
      <c r="F40" s="332"/>
      <c r="G40" s="332"/>
      <c r="H40" s="332"/>
      <c r="I40" s="332"/>
      <c r="J40" s="332"/>
      <c r="K40" s="340"/>
      <c r="L40" s="340"/>
      <c r="M40" s="340"/>
      <c r="N40" s="340"/>
      <c r="O40" s="401"/>
      <c r="P40" s="355"/>
      <c r="Q40" s="380"/>
      <c r="R40" s="380"/>
      <c r="S40" s="380"/>
      <c r="T40" s="380"/>
      <c r="U40" s="380"/>
      <c r="V40" s="356" t="s">
        <v>2</v>
      </c>
      <c r="W40" s="357">
        <v>91999902</v>
      </c>
      <c r="X40" s="358" t="s">
        <v>506</v>
      </c>
      <c r="Y40" s="358" t="s">
        <v>531</v>
      </c>
      <c r="Z40" s="359">
        <v>3501</v>
      </c>
      <c r="AA40" s="360">
        <v>1800000</v>
      </c>
      <c r="AB40" s="358"/>
      <c r="AC40" s="361"/>
    </row>
    <row r="41" spans="1:29">
      <c r="A41" s="416" t="s">
        <v>572</v>
      </c>
      <c r="B41" s="331"/>
      <c r="C41" s="332"/>
      <c r="D41" s="332"/>
      <c r="E41" s="340"/>
      <c r="F41" s="332"/>
      <c r="G41" s="332"/>
      <c r="H41" s="332"/>
      <c r="I41" s="332"/>
      <c r="J41" s="332"/>
      <c r="K41" s="340"/>
      <c r="L41" s="340"/>
      <c r="M41" s="340"/>
      <c r="N41" s="340"/>
      <c r="O41" s="401"/>
      <c r="P41" s="355"/>
      <c r="Q41" s="380"/>
      <c r="R41" s="380"/>
      <c r="S41" s="380"/>
      <c r="T41" s="380"/>
      <c r="U41" s="380"/>
      <c r="V41" s="356" t="s">
        <v>2</v>
      </c>
      <c r="W41" s="357">
        <v>91999903</v>
      </c>
      <c r="X41" s="358" t="s">
        <v>510</v>
      </c>
      <c r="Y41" s="358" t="s">
        <v>531</v>
      </c>
      <c r="Z41" s="359">
        <v>3501</v>
      </c>
      <c r="AA41" s="360">
        <v>1800000</v>
      </c>
      <c r="AB41" s="358"/>
      <c r="AC41" s="361"/>
    </row>
    <row r="42" spans="1:29">
      <c r="A42" s="415" t="s">
        <v>498</v>
      </c>
      <c r="B42" s="331"/>
      <c r="C42" s="332"/>
      <c r="D42" s="332"/>
      <c r="E42" s="340"/>
      <c r="F42" s="332"/>
      <c r="G42" s="332"/>
      <c r="H42" s="332">
        <f>ROUND(AA63*$B$4,0)</f>
        <v>11602500</v>
      </c>
      <c r="I42" s="332">
        <f>ROUND(AA64*$B$4,0)</f>
        <v>13923000</v>
      </c>
      <c r="J42" s="332"/>
      <c r="K42" s="340"/>
      <c r="L42" s="340"/>
      <c r="M42" s="340"/>
      <c r="N42" s="340"/>
      <c r="O42" s="401"/>
      <c r="P42" s="355">
        <f>SUM(B42:O42)</f>
        <v>25525500</v>
      </c>
      <c r="Q42" s="379"/>
      <c r="R42" s="379" t="s">
        <v>525</v>
      </c>
      <c r="S42" s="379"/>
      <c r="T42" s="379"/>
      <c r="U42" s="379"/>
      <c r="V42" s="356" t="s">
        <v>2</v>
      </c>
      <c r="W42" s="357">
        <v>91999904</v>
      </c>
      <c r="X42" s="358" t="s">
        <v>506</v>
      </c>
      <c r="Y42" s="358" t="s">
        <v>531</v>
      </c>
      <c r="Z42" s="359">
        <v>3501</v>
      </c>
      <c r="AA42" s="360">
        <v>1800000</v>
      </c>
      <c r="AB42" s="358"/>
      <c r="AC42" s="361"/>
    </row>
    <row r="43" spans="1:29">
      <c r="A43" s="445" t="s">
        <v>534</v>
      </c>
      <c r="B43" s="332">
        <f>IF(OR(B18="A",B18="B"),ROUND(ROUND(2369796*B19*B16*IF(B17&lt;3,0,IF(B17&lt;6,50%,100%)),0)*B13%/365,0),ROUND(ROUND(2466.55*$B$4,0)*B16*B13%/365,0))</f>
        <v>181793</v>
      </c>
      <c r="C43" s="332">
        <f t="shared" ref="C43:F43" si="14">IF(OR(C18="A",C18="B"),ROUND(ROUND(2369796*C19*C16*IF(C17&lt;3,0,IF(C17&lt;6,50%,100%)),0)*C13%/365,0),ROUND(ROUND(2466.55*$B$4,0)*C16*C13%/365,0))</f>
        <v>181793</v>
      </c>
      <c r="D43" s="332">
        <f t="shared" si="14"/>
        <v>0</v>
      </c>
      <c r="E43" s="332">
        <f t="shared" si="14"/>
        <v>272689</v>
      </c>
      <c r="F43" s="332">
        <f t="shared" si="14"/>
        <v>0</v>
      </c>
      <c r="G43" s="332"/>
      <c r="H43" s="360">
        <f>(ROUND(2466.55*$B$4/365*H16,0)+ROUND(863.29*$B$4/365*H16,0))*H13%</f>
        <v>2963740</v>
      </c>
      <c r="I43" s="332">
        <f>IF(OR(I18="A",I18="B"),ROUND(2369796/365*I16,0),ROUND(ROUND(2466.55*$B$4,0)/365*I16,0))*I19*IF(I17&lt;3,0,IF(I17&lt;6,50%,100%))</f>
        <v>0</v>
      </c>
      <c r="J43" s="332">
        <f t="shared" ref="J43:O43" si="15">IF(OR(J18="A",J18="B"),ROUND(2369796/365*J16,0),ROUND(ROUND(2466.55*$B$4,0)/365/J16,0))*J19</f>
        <v>0</v>
      </c>
      <c r="K43" s="332">
        <f t="shared" si="15"/>
        <v>0</v>
      </c>
      <c r="L43" s="332">
        <f t="shared" si="15"/>
        <v>0</v>
      </c>
      <c r="M43" s="332">
        <f t="shared" si="15"/>
        <v>0</v>
      </c>
      <c r="N43" s="332">
        <f t="shared" si="15"/>
        <v>0</v>
      </c>
      <c r="O43" s="400">
        <f t="shared" si="15"/>
        <v>0</v>
      </c>
      <c r="P43" s="346">
        <f>SUM(B43:O43)</f>
        <v>3600015</v>
      </c>
      <c r="Q43" s="380"/>
      <c r="R43" s="379" t="s">
        <v>525</v>
      </c>
      <c r="S43" s="380"/>
      <c r="T43" s="380"/>
      <c r="U43" s="380"/>
      <c r="V43" s="356" t="s">
        <v>2</v>
      </c>
      <c r="W43" s="357">
        <v>91999905</v>
      </c>
      <c r="X43" s="358" t="s">
        <v>506</v>
      </c>
      <c r="Y43" s="358" t="s">
        <v>531</v>
      </c>
      <c r="Z43" s="359">
        <v>3501</v>
      </c>
      <c r="AA43" s="360">
        <v>1800000</v>
      </c>
      <c r="AB43" s="358"/>
      <c r="AC43" s="361"/>
    </row>
    <row r="44" spans="1:29">
      <c r="A44" s="412"/>
      <c r="B44" s="331"/>
      <c r="C44" s="332"/>
      <c r="D44" s="332"/>
      <c r="E44" s="340"/>
      <c r="F44" s="368"/>
      <c r="G44" s="368"/>
      <c r="H44" s="368"/>
      <c r="I44" s="368"/>
      <c r="J44" s="368"/>
      <c r="K44" s="340"/>
      <c r="L44" s="340"/>
      <c r="M44" s="340"/>
      <c r="N44" s="340"/>
      <c r="O44" s="401"/>
      <c r="P44" s="355"/>
      <c r="Q44" s="379"/>
      <c r="R44" s="379"/>
      <c r="S44" s="379"/>
      <c r="T44" s="379"/>
      <c r="U44" s="379"/>
      <c r="V44" s="356" t="s">
        <v>2</v>
      </c>
      <c r="W44" s="357">
        <v>91999901</v>
      </c>
      <c r="X44" s="358" t="s">
        <v>506</v>
      </c>
      <c r="Y44" s="358" t="s">
        <v>531</v>
      </c>
      <c r="Z44" s="359">
        <v>3081</v>
      </c>
      <c r="AA44" s="360">
        <v>3000000</v>
      </c>
      <c r="AB44" s="358"/>
      <c r="AC44" s="361"/>
    </row>
    <row r="45" spans="1:29">
      <c r="A45" s="450" t="s">
        <v>61</v>
      </c>
      <c r="B45" s="365">
        <f t="shared" ref="B45:O45" si="16">SUM(B24:B38)</f>
        <v>16800000</v>
      </c>
      <c r="C45" s="366">
        <f t="shared" si="16"/>
        <v>16880000</v>
      </c>
      <c r="D45" s="366">
        <f t="shared" si="16"/>
        <v>18630000</v>
      </c>
      <c r="E45" s="366">
        <f t="shared" si="16"/>
        <v>13800000</v>
      </c>
      <c r="F45" s="366">
        <f t="shared" si="16"/>
        <v>18800000</v>
      </c>
      <c r="G45" s="366">
        <f t="shared" si="16"/>
        <v>11602500</v>
      </c>
      <c r="H45" s="366">
        <f t="shared" si="16"/>
        <v>154313250</v>
      </c>
      <c r="I45" s="366">
        <f t="shared" si="16"/>
        <v>93632175</v>
      </c>
      <c r="J45" s="366">
        <f t="shared" si="16"/>
        <v>73478262</v>
      </c>
      <c r="K45" s="366">
        <f t="shared" si="16"/>
        <v>11130000</v>
      </c>
      <c r="L45" s="366">
        <f t="shared" si="16"/>
        <v>90000000</v>
      </c>
      <c r="M45" s="366">
        <f t="shared" si="16"/>
        <v>7500000</v>
      </c>
      <c r="N45" s="366">
        <f t="shared" si="16"/>
        <v>9000000</v>
      </c>
      <c r="O45" s="540">
        <f t="shared" si="16"/>
        <v>2000000</v>
      </c>
      <c r="P45" s="355">
        <f>SUM(B45:O45)</f>
        <v>537566187</v>
      </c>
      <c r="Q45" s="379"/>
      <c r="R45" s="379"/>
      <c r="S45" s="379"/>
      <c r="T45" s="379"/>
      <c r="U45" s="379"/>
      <c r="V45" s="356" t="s">
        <v>2</v>
      </c>
      <c r="W45" s="357">
        <v>91999902</v>
      </c>
      <c r="X45" s="358" t="s">
        <v>506</v>
      </c>
      <c r="Y45" s="358" t="s">
        <v>531</v>
      </c>
      <c r="Z45" s="359">
        <v>3081</v>
      </c>
      <c r="AA45" s="360">
        <v>3000000</v>
      </c>
      <c r="AB45" s="358"/>
      <c r="AC45" s="361"/>
    </row>
    <row r="46" spans="1:29">
      <c r="A46" s="418"/>
      <c r="B46" s="331"/>
      <c r="C46" s="332"/>
      <c r="D46" s="332"/>
      <c r="E46" s="340"/>
      <c r="F46" s="332"/>
      <c r="G46" s="332"/>
      <c r="H46" s="332"/>
      <c r="I46" s="332"/>
      <c r="J46" s="332"/>
      <c r="K46" s="340"/>
      <c r="L46" s="340"/>
      <c r="M46" s="340"/>
      <c r="N46" s="340"/>
      <c r="O46" s="401"/>
      <c r="P46" s="355"/>
      <c r="Q46" s="379"/>
      <c r="R46" s="379"/>
      <c r="S46" s="379"/>
      <c r="T46" s="379"/>
      <c r="U46" s="379"/>
      <c r="V46" s="356" t="s">
        <v>2</v>
      </c>
      <c r="W46" s="357">
        <v>91999903</v>
      </c>
      <c r="X46" s="358" t="s">
        <v>510</v>
      </c>
      <c r="Y46" s="358" t="s">
        <v>531</v>
      </c>
      <c r="Z46" s="359">
        <v>3081</v>
      </c>
      <c r="AA46" s="360">
        <v>3000000</v>
      </c>
      <c r="AB46" s="358"/>
      <c r="AC46" s="361"/>
    </row>
    <row r="47" spans="1:29" ht="15.6">
      <c r="A47" s="419" t="s">
        <v>60</v>
      </c>
      <c r="B47" s="362"/>
      <c r="C47" s="362"/>
      <c r="D47" s="362"/>
      <c r="E47" s="370"/>
      <c r="F47" s="362"/>
      <c r="G47" s="362"/>
      <c r="H47" s="362"/>
      <c r="I47" s="362"/>
      <c r="J47" s="362"/>
      <c r="K47" s="370"/>
      <c r="L47" s="370"/>
      <c r="M47" s="370"/>
      <c r="N47" s="370"/>
      <c r="O47" s="383"/>
      <c r="P47" s="355"/>
      <c r="Q47" s="379"/>
      <c r="R47" s="379"/>
      <c r="S47" s="379"/>
      <c r="T47" s="379"/>
      <c r="U47" s="379"/>
      <c r="V47" s="356" t="s">
        <v>2</v>
      </c>
      <c r="W47" s="357">
        <v>91999904</v>
      </c>
      <c r="X47" s="358" t="s">
        <v>506</v>
      </c>
      <c r="Y47" s="358" t="s">
        <v>531</v>
      </c>
      <c r="Z47" s="359">
        <v>3081</v>
      </c>
      <c r="AA47" s="360">
        <v>3000000</v>
      </c>
      <c r="AB47" s="358"/>
      <c r="AC47" s="361"/>
    </row>
    <row r="48" spans="1:29">
      <c r="A48" s="414" t="s">
        <v>55</v>
      </c>
      <c r="B48" s="362"/>
      <c r="C48" s="362"/>
      <c r="D48" s="362"/>
      <c r="E48" s="370"/>
      <c r="F48" s="362"/>
      <c r="G48" s="362"/>
      <c r="H48" s="362"/>
      <c r="I48" s="362"/>
      <c r="J48" s="362"/>
      <c r="K48" s="370"/>
      <c r="L48" s="370"/>
      <c r="M48" s="370"/>
      <c r="N48" s="370"/>
      <c r="O48" s="383"/>
      <c r="P48" s="355"/>
      <c r="Q48" s="379"/>
      <c r="R48" s="379"/>
      <c r="S48" s="379"/>
      <c r="T48" s="379"/>
      <c r="U48" s="379"/>
      <c r="V48" s="356" t="s">
        <v>2</v>
      </c>
      <c r="W48" s="357">
        <v>91999905</v>
      </c>
      <c r="X48" s="358" t="s">
        <v>506</v>
      </c>
      <c r="Y48" s="358" t="s">
        <v>531</v>
      </c>
      <c r="Z48" s="359">
        <v>3081</v>
      </c>
      <c r="AA48" s="360">
        <v>3000000</v>
      </c>
      <c r="AB48" s="358"/>
      <c r="AC48" s="361"/>
    </row>
    <row r="49" spans="1:29">
      <c r="A49" s="99" t="s">
        <v>576</v>
      </c>
      <c r="B49" s="332">
        <f>ROUND(B98*'New Hire'!C56,0)</f>
        <v>800000</v>
      </c>
      <c r="C49" s="332">
        <f>ROUND(C98*'New Hire'!D56,0)</f>
        <v>748000</v>
      </c>
      <c r="D49" s="332">
        <f>ROUND(D98*'New Hire'!E56,0)</f>
        <v>0</v>
      </c>
      <c r="E49" s="332">
        <f>ROUND(E98*'New Hire'!F56,0)</f>
        <v>720000</v>
      </c>
      <c r="F49" s="332">
        <f>ROUND(F98*'New Hire'!G56,0)</f>
        <v>0</v>
      </c>
      <c r="G49" s="332">
        <f>ROUND(G98*'New Hire'!H56,0)</f>
        <v>0</v>
      </c>
      <c r="H49" s="332">
        <f>ROUND(H98*'New Hire'!I56,0)</f>
        <v>0</v>
      </c>
      <c r="I49" s="332">
        <f>ROUND(I98*'New Hire'!J56,0)</f>
        <v>0</v>
      </c>
      <c r="J49" s="332">
        <f>ROUND(J98*'New Hire'!K56,0)</f>
        <v>2224000</v>
      </c>
      <c r="K49" s="332">
        <f>ROUND(K98*'New Hire'!L56,0)</f>
        <v>0</v>
      </c>
      <c r="L49" s="332">
        <f>ROUND(L98*'New Hire'!M56,0)</f>
        <v>2224000</v>
      </c>
      <c r="M49" s="332">
        <f>ROUND(M98*'New Hire'!N56,0)</f>
        <v>0</v>
      </c>
      <c r="N49" s="332">
        <f>ROUND(N98*'New Hire'!O56,0)</f>
        <v>0</v>
      </c>
      <c r="O49" s="400">
        <f>ROUND(O98*'New Hire'!P56,0)</f>
        <v>0</v>
      </c>
      <c r="P49" s="355">
        <f t="shared" ref="P49:P56" si="17">SUM(B49:O49)</f>
        <v>6716000</v>
      </c>
      <c r="Q49" s="379"/>
      <c r="R49" s="379"/>
      <c r="S49" s="379"/>
      <c r="T49" s="379"/>
      <c r="U49" s="379"/>
      <c r="V49" s="356" t="s">
        <v>2</v>
      </c>
      <c r="W49" s="357">
        <v>91999901</v>
      </c>
      <c r="X49" s="358" t="s">
        <v>506</v>
      </c>
      <c r="Y49" s="358" t="s">
        <v>531</v>
      </c>
      <c r="Z49" s="359" t="s">
        <v>532</v>
      </c>
      <c r="AA49" s="360">
        <v>2000000</v>
      </c>
      <c r="AB49" s="358"/>
      <c r="AC49" s="361"/>
    </row>
    <row r="50" spans="1:29">
      <c r="A50" s="412" t="s">
        <v>577</v>
      </c>
      <c r="B50" s="332">
        <f>ROUND(MIN(B100,83600000)*'New Hire'!C59,0)</f>
        <v>100000</v>
      </c>
      <c r="C50" s="332">
        <f>ROUND(MIN(C100,83600000)*'New Hire'!D59,0)</f>
        <v>93500</v>
      </c>
      <c r="D50" s="332">
        <f>ROUND(MIN(D100,83600000)*'New Hire'!E59,0)</f>
        <v>111000</v>
      </c>
      <c r="E50" s="332">
        <f>ROUND(MIN(E100,83600000)*'New Hire'!F59,0)</f>
        <v>90000</v>
      </c>
      <c r="F50" s="332">
        <f>ROUND(MIN(F100,83600000)*'New Hire'!G59,0)</f>
        <v>0</v>
      </c>
      <c r="G50" s="332">
        <f>ROUND(MIN(G100,83600000)*'New Hire'!H59,0)</f>
        <v>0</v>
      </c>
      <c r="H50" s="332">
        <f>ROUND(MIN(H100,83600000)*'New Hire'!I59,0)</f>
        <v>0</v>
      </c>
      <c r="I50" s="332">
        <f>ROUND(MIN(I100,83600000)*'New Hire'!J59,0)</f>
        <v>0</v>
      </c>
      <c r="J50" s="332">
        <f>ROUND(MIN(J100,83600000)*'New Hire'!K59,0)</f>
        <v>650000</v>
      </c>
      <c r="K50" s="332">
        <f>ROUND(MIN(K100,83600000)*'New Hire'!L59,0)</f>
        <v>0</v>
      </c>
      <c r="L50" s="332">
        <f>ROUND(MIN(L100,83600000)*'New Hire'!M59,0)</f>
        <v>836000</v>
      </c>
      <c r="M50" s="332">
        <f>ROUND(MIN(M100,83600000)*'New Hire'!N59,0)</f>
        <v>0</v>
      </c>
      <c r="N50" s="332">
        <f>ROUND(MIN(N100,83600000)*'New Hire'!O59,0)</f>
        <v>0</v>
      </c>
      <c r="O50" s="332">
        <f>ROUND(MIN(O100,83600000)*'New Hire'!P59,0)</f>
        <v>0</v>
      </c>
      <c r="P50" s="355">
        <f t="shared" si="17"/>
        <v>1880500</v>
      </c>
      <c r="Q50" s="379"/>
      <c r="R50" s="379"/>
      <c r="S50" s="379"/>
      <c r="T50" s="379"/>
      <c r="U50" s="379"/>
      <c r="V50" s="356" t="s">
        <v>2</v>
      </c>
      <c r="W50" s="357">
        <v>91999902</v>
      </c>
      <c r="X50" s="358" t="s">
        <v>506</v>
      </c>
      <c r="Y50" s="358" t="s">
        <v>531</v>
      </c>
      <c r="Z50" s="359" t="s">
        <v>532</v>
      </c>
      <c r="AA50" s="360">
        <v>2000000</v>
      </c>
      <c r="AB50" s="358"/>
      <c r="AC50" s="361"/>
    </row>
    <row r="51" spans="1:29">
      <c r="A51" s="412" t="s">
        <v>578</v>
      </c>
      <c r="B51" s="332">
        <f>ROUND(B98*'New Hire'!C62,0)</f>
        <v>150000</v>
      </c>
      <c r="C51" s="332">
        <f>ROUND(C98*'New Hire'!D62,0)</f>
        <v>140250</v>
      </c>
      <c r="D51" s="332">
        <f>ROUND(D98*'New Hire'!E62,0)</f>
        <v>166500</v>
      </c>
      <c r="E51" s="332">
        <f>ROUND(E98*'New Hire'!F62,0)</f>
        <v>135000</v>
      </c>
      <c r="F51" s="332">
        <f>ROUND(F98*'New Hire'!G62,0)</f>
        <v>0</v>
      </c>
      <c r="G51" s="332">
        <f>ROUND(G98*'New Hire'!H62,0)</f>
        <v>0</v>
      </c>
      <c r="H51" s="332">
        <f>ROUND(H98*'New Hire'!I62,0)</f>
        <v>417000</v>
      </c>
      <c r="I51" s="332">
        <f>ROUND(I98*'New Hire'!J62,0)</f>
        <v>417000</v>
      </c>
      <c r="J51" s="332">
        <f>ROUND(J98*'New Hire'!K62,0)</f>
        <v>417000</v>
      </c>
      <c r="K51" s="332">
        <f>ROUND(K98*'New Hire'!L62,0)</f>
        <v>0</v>
      </c>
      <c r="L51" s="332">
        <f>ROUND(L98*'New Hire'!M62,0)</f>
        <v>417000</v>
      </c>
      <c r="M51" s="332">
        <f>ROUND(M98*'New Hire'!N62,0)</f>
        <v>0</v>
      </c>
      <c r="N51" s="332">
        <f>ROUND(N98*'New Hire'!O62,0)</f>
        <v>0</v>
      </c>
      <c r="O51" s="400">
        <f>ROUND(O98*'New Hire'!P62,0)</f>
        <v>0</v>
      </c>
      <c r="P51" s="355">
        <f t="shared" si="17"/>
        <v>2259750</v>
      </c>
      <c r="Q51" s="379"/>
      <c r="R51" s="379"/>
      <c r="S51" s="379"/>
      <c r="T51" s="379"/>
      <c r="U51" s="379"/>
      <c r="V51" s="356" t="s">
        <v>2</v>
      </c>
      <c r="W51" s="357">
        <v>91999903</v>
      </c>
      <c r="X51" s="358" t="s">
        <v>510</v>
      </c>
      <c r="Y51" s="358" t="s">
        <v>531</v>
      </c>
      <c r="Z51" s="359" t="s">
        <v>532</v>
      </c>
      <c r="AA51" s="360">
        <v>2000000</v>
      </c>
      <c r="AB51" s="358"/>
      <c r="AC51" s="361"/>
    </row>
    <row r="52" spans="1:29">
      <c r="A52" s="412" t="s">
        <v>900</v>
      </c>
      <c r="B52" s="332">
        <f>B109</f>
        <v>76590</v>
      </c>
      <c r="C52" s="332">
        <f t="shared" ref="C52:O52" si="18">C109</f>
        <v>0</v>
      </c>
      <c r="D52" s="332">
        <f t="shared" si="18"/>
        <v>161125</v>
      </c>
      <c r="E52" s="332">
        <f t="shared" si="18"/>
        <v>1227269</v>
      </c>
      <c r="F52" s="332">
        <f t="shared" si="18"/>
        <v>1700000</v>
      </c>
      <c r="G52" s="332">
        <f t="shared" si="18"/>
        <v>130125</v>
      </c>
      <c r="H52" s="332">
        <f t="shared" si="18"/>
        <v>33775898</v>
      </c>
      <c r="I52" s="332">
        <f t="shared" si="18"/>
        <v>21511035</v>
      </c>
      <c r="J52" s="332">
        <f t="shared" si="18"/>
        <v>12506179</v>
      </c>
      <c r="K52" s="332">
        <f t="shared" si="18"/>
        <v>70000</v>
      </c>
      <c r="L52" s="332">
        <f t="shared" si="18"/>
        <v>17406900</v>
      </c>
      <c r="M52" s="332">
        <f t="shared" si="18"/>
        <v>0</v>
      </c>
      <c r="N52" s="332">
        <f t="shared" si="18"/>
        <v>0</v>
      </c>
      <c r="O52" s="400">
        <f t="shared" si="18"/>
        <v>200000</v>
      </c>
      <c r="P52" s="355">
        <f t="shared" si="17"/>
        <v>88765121</v>
      </c>
      <c r="Q52" s="379"/>
      <c r="R52" s="379"/>
      <c r="S52" s="379"/>
      <c r="T52" s="379"/>
      <c r="U52" s="379"/>
      <c r="V52" s="356" t="s">
        <v>2</v>
      </c>
      <c r="W52" s="357">
        <v>91999907</v>
      </c>
      <c r="X52" s="358" t="s">
        <v>603</v>
      </c>
      <c r="Y52" s="358" t="s">
        <v>531</v>
      </c>
      <c r="Z52" s="359" t="s">
        <v>532</v>
      </c>
      <c r="AA52" s="360">
        <v>350</v>
      </c>
      <c r="AB52" s="358" t="s">
        <v>542</v>
      </c>
      <c r="AC52" s="361"/>
    </row>
    <row r="53" spans="1:29">
      <c r="A53" s="445" t="s">
        <v>514</v>
      </c>
      <c r="B53" s="332">
        <f>B91-B70</f>
        <v>0</v>
      </c>
      <c r="C53" s="332">
        <f t="shared" ref="C53:O53" si="19">C91-C70</f>
        <v>0</v>
      </c>
      <c r="D53" s="332">
        <f t="shared" si="19"/>
        <v>0</v>
      </c>
      <c r="E53" s="332">
        <f t="shared" si="19"/>
        <v>0</v>
      </c>
      <c r="F53" s="332">
        <f t="shared" si="19"/>
        <v>0</v>
      </c>
      <c r="G53" s="332">
        <f t="shared" si="19"/>
        <v>0</v>
      </c>
      <c r="H53" s="332">
        <f t="shared" si="19"/>
        <v>306849</v>
      </c>
      <c r="I53" s="332">
        <f t="shared" si="19"/>
        <v>0</v>
      </c>
      <c r="J53" s="332">
        <f t="shared" si="19"/>
        <v>0</v>
      </c>
      <c r="K53" s="332">
        <f t="shared" si="19"/>
        <v>0</v>
      </c>
      <c r="L53" s="332">
        <f t="shared" si="19"/>
        <v>0</v>
      </c>
      <c r="M53" s="332">
        <f t="shared" si="19"/>
        <v>0</v>
      </c>
      <c r="N53" s="332">
        <f t="shared" si="19"/>
        <v>0</v>
      </c>
      <c r="O53" s="400">
        <f t="shared" si="19"/>
        <v>0</v>
      </c>
      <c r="P53" s="355">
        <f t="shared" si="17"/>
        <v>306849</v>
      </c>
      <c r="Q53" s="379"/>
      <c r="R53" s="379"/>
      <c r="S53" s="379"/>
      <c r="T53" s="379"/>
      <c r="U53" s="380"/>
      <c r="V53" s="356" t="s">
        <v>2</v>
      </c>
      <c r="W53" s="357">
        <v>91999908</v>
      </c>
      <c r="X53" s="358" t="s">
        <v>507</v>
      </c>
      <c r="Y53" s="358" t="s">
        <v>531</v>
      </c>
      <c r="Z53" s="359" t="s">
        <v>532</v>
      </c>
      <c r="AA53" s="360">
        <v>335</v>
      </c>
      <c r="AB53" s="358" t="s">
        <v>542</v>
      </c>
      <c r="AC53" s="361"/>
    </row>
    <row r="54" spans="1:29">
      <c r="A54" s="445" t="s">
        <v>535</v>
      </c>
      <c r="B54" s="332">
        <f>IF(OR(B18="A",B18="B"),ROUND(2369796*B19*B16/365,0),ROUND(2466.55*$B$4*B19*B16/12,0))-B43</f>
        <v>0</v>
      </c>
      <c r="C54" s="332">
        <f t="shared" ref="C54:G54" si="20">IF(OR(C18="A",C18="B"),ROUND(2369796*C19*C16/365,0),ROUND(2466.55*$B$4*C19*C16/12,0))-C43</f>
        <v>181792</v>
      </c>
      <c r="D54" s="332">
        <v>0</v>
      </c>
      <c r="E54" s="332">
        <f t="shared" si="20"/>
        <v>272689</v>
      </c>
      <c r="F54" s="332">
        <f t="shared" si="20"/>
        <v>0</v>
      </c>
      <c r="G54" s="332">
        <f t="shared" si="20"/>
        <v>0</v>
      </c>
      <c r="H54" s="332">
        <f>ROUND((ROUND(2466.55*$B$4/365*H16,0)+ROUND(863.29*$B$4/365*H16,0)),0)-H43</f>
        <v>2963740</v>
      </c>
      <c r="I54" s="332">
        <f t="shared" ref="I54:O54" si="21">I43</f>
        <v>0</v>
      </c>
      <c r="J54" s="332">
        <f t="shared" si="21"/>
        <v>0</v>
      </c>
      <c r="K54" s="332">
        <f t="shared" si="21"/>
        <v>0</v>
      </c>
      <c r="L54" s="332">
        <f t="shared" si="21"/>
        <v>0</v>
      </c>
      <c r="M54" s="332">
        <f t="shared" si="21"/>
        <v>0</v>
      </c>
      <c r="N54" s="332">
        <f t="shared" si="21"/>
        <v>0</v>
      </c>
      <c r="O54" s="400">
        <f t="shared" si="21"/>
        <v>0</v>
      </c>
      <c r="P54" s="346">
        <f t="shared" si="17"/>
        <v>3418221</v>
      </c>
      <c r="Q54" s="379"/>
      <c r="R54" s="379"/>
      <c r="S54" s="379"/>
      <c r="T54" s="379"/>
      <c r="U54" s="380"/>
      <c r="V54" s="356" t="s">
        <v>2</v>
      </c>
      <c r="W54" s="357">
        <v>91999902</v>
      </c>
      <c r="X54" s="358" t="s">
        <v>506</v>
      </c>
      <c r="Y54" s="358" t="s">
        <v>531</v>
      </c>
      <c r="Z54" s="359">
        <v>3525</v>
      </c>
      <c r="AA54" s="360">
        <v>730000</v>
      </c>
      <c r="AB54" s="358"/>
      <c r="AC54" s="361"/>
    </row>
    <row r="55" spans="1:29">
      <c r="A55" s="445" t="s">
        <v>538</v>
      </c>
      <c r="B55" s="332">
        <f>B92</f>
        <v>0</v>
      </c>
      <c r="C55" s="332">
        <f t="shared" ref="C55:O55" si="22">C92</f>
        <v>0</v>
      </c>
      <c r="D55" s="332">
        <f t="shared" si="22"/>
        <v>0</v>
      </c>
      <c r="E55" s="332">
        <f t="shared" si="22"/>
        <v>0</v>
      </c>
      <c r="F55" s="332">
        <f t="shared" si="22"/>
        <v>0</v>
      </c>
      <c r="G55" s="332">
        <f t="shared" si="22"/>
        <v>0</v>
      </c>
      <c r="H55" s="332">
        <f t="shared" si="22"/>
        <v>536986</v>
      </c>
      <c r="I55" s="332">
        <f t="shared" si="22"/>
        <v>0</v>
      </c>
      <c r="J55" s="332">
        <f t="shared" si="22"/>
        <v>0</v>
      </c>
      <c r="K55" s="332">
        <f t="shared" si="22"/>
        <v>0</v>
      </c>
      <c r="L55" s="332">
        <f t="shared" si="22"/>
        <v>0</v>
      </c>
      <c r="M55" s="332">
        <f t="shared" si="22"/>
        <v>0</v>
      </c>
      <c r="N55" s="332">
        <f t="shared" si="22"/>
        <v>0</v>
      </c>
      <c r="O55" s="400">
        <f t="shared" si="22"/>
        <v>0</v>
      </c>
      <c r="P55" s="355">
        <f t="shared" si="17"/>
        <v>536986</v>
      </c>
      <c r="Q55" s="379"/>
      <c r="R55" s="379"/>
      <c r="S55" s="341"/>
      <c r="T55" s="341"/>
      <c r="U55" s="341"/>
      <c r="V55" s="356" t="s">
        <v>2</v>
      </c>
      <c r="W55" s="357">
        <v>91999903</v>
      </c>
      <c r="X55" s="358" t="s">
        <v>510</v>
      </c>
      <c r="Y55" s="358" t="s">
        <v>531</v>
      </c>
      <c r="Z55" s="359">
        <v>3525</v>
      </c>
      <c r="AA55" s="360">
        <v>730000</v>
      </c>
      <c r="AB55" s="358"/>
      <c r="AC55" s="361"/>
    </row>
    <row r="56" spans="1:29">
      <c r="A56" s="445" t="s">
        <v>539</v>
      </c>
      <c r="B56" s="332">
        <f t="shared" ref="B56:G56" si="23">IF(OR(B18="A",B18="B"),0,ROUND(ROUND(297.1*$B$4,0)/365*B16,0))*B19</f>
        <v>0</v>
      </c>
      <c r="C56" s="332">
        <f t="shared" si="23"/>
        <v>0</v>
      </c>
      <c r="D56" s="332">
        <f t="shared" si="23"/>
        <v>0</v>
      </c>
      <c r="E56" s="332">
        <f t="shared" si="23"/>
        <v>0</v>
      </c>
      <c r="F56" s="332">
        <f t="shared" si="23"/>
        <v>0</v>
      </c>
      <c r="G56" s="332">
        <f t="shared" si="23"/>
        <v>0</v>
      </c>
      <c r="H56" s="360">
        <f>ROUND((ROUND(297.1*$B$4*H16/365,0)+ROUND(103.98*$B$4/365*H16,0))*H13%,0)</f>
        <v>356984</v>
      </c>
      <c r="I56" s="332">
        <f t="shared" ref="I56:O56" si="24">IF(OR(I18="A",I18="B"),0,ROUND(ROUND(297.1*$B$4,0)/365*I16,0))*I19</f>
        <v>0</v>
      </c>
      <c r="J56" s="332">
        <f t="shared" si="24"/>
        <v>0</v>
      </c>
      <c r="K56" s="332">
        <f t="shared" si="24"/>
        <v>0</v>
      </c>
      <c r="L56" s="332">
        <f t="shared" si="24"/>
        <v>0</v>
      </c>
      <c r="M56" s="332">
        <f t="shared" si="24"/>
        <v>0</v>
      </c>
      <c r="N56" s="332">
        <f t="shared" si="24"/>
        <v>0</v>
      </c>
      <c r="O56" s="400">
        <f t="shared" si="24"/>
        <v>0</v>
      </c>
      <c r="P56" s="346">
        <f t="shared" si="17"/>
        <v>356984</v>
      </c>
      <c r="Q56" s="347"/>
      <c r="R56" s="347"/>
      <c r="S56" s="347"/>
      <c r="T56" s="347"/>
      <c r="U56" s="347"/>
      <c r="V56" s="356" t="s">
        <v>2</v>
      </c>
      <c r="W56" s="357">
        <v>91999910</v>
      </c>
      <c r="X56" s="358" t="s">
        <v>507</v>
      </c>
      <c r="Y56" s="358" t="s">
        <v>531</v>
      </c>
      <c r="Z56" s="359">
        <v>3525</v>
      </c>
      <c r="AA56" s="360">
        <v>730000</v>
      </c>
      <c r="AB56" s="358"/>
      <c r="AC56" s="361"/>
    </row>
    <row r="57" spans="1:29">
      <c r="A57" s="412" t="s">
        <v>584</v>
      </c>
      <c r="B57" s="80"/>
      <c r="C57" s="80"/>
      <c r="D57" s="332"/>
      <c r="E57" s="332">
        <f>AA67</f>
        <v>1000000</v>
      </c>
      <c r="F57" s="332"/>
      <c r="G57" s="332"/>
      <c r="H57" s="332"/>
      <c r="I57" s="332">
        <f>AA65*$B$4</f>
        <v>1160250</v>
      </c>
      <c r="J57" s="332"/>
      <c r="K57" s="340"/>
      <c r="L57" s="340"/>
      <c r="M57" s="340"/>
      <c r="N57" s="340"/>
      <c r="O57" s="401"/>
      <c r="P57" s="355">
        <f>SUM(D57:O57)</f>
        <v>2160250</v>
      </c>
      <c r="Q57" s="379"/>
      <c r="R57" s="379"/>
      <c r="S57" s="379"/>
      <c r="T57" s="379"/>
      <c r="U57" s="379"/>
      <c r="V57" s="356" t="s">
        <v>2</v>
      </c>
      <c r="W57" s="357">
        <v>91999901</v>
      </c>
      <c r="X57" s="358" t="s">
        <v>506</v>
      </c>
      <c r="Y57" s="358" t="s">
        <v>531</v>
      </c>
      <c r="Z57" s="359">
        <v>3100</v>
      </c>
      <c r="AA57" s="360">
        <v>1500000</v>
      </c>
      <c r="AB57" s="358"/>
      <c r="AC57" s="361"/>
    </row>
    <row r="58" spans="1:29">
      <c r="A58" s="412" t="s">
        <v>585</v>
      </c>
      <c r="B58" s="402"/>
      <c r="C58" s="80"/>
      <c r="D58" s="332"/>
      <c r="E58" s="332">
        <f>AA68</f>
        <v>1500000</v>
      </c>
      <c r="F58" s="332"/>
      <c r="G58" s="332"/>
      <c r="H58" s="332"/>
      <c r="I58" s="332">
        <f>AA66*$B$4</f>
        <v>1392300</v>
      </c>
      <c r="J58" s="332"/>
      <c r="K58" s="340"/>
      <c r="L58" s="340"/>
      <c r="M58" s="340"/>
      <c r="N58" s="340"/>
      <c r="O58" s="401"/>
      <c r="P58" s="355">
        <f>SUM(D58:O58)</f>
        <v>2892300</v>
      </c>
      <c r="Q58" s="379"/>
      <c r="R58" s="379"/>
      <c r="S58" s="379"/>
      <c r="T58" s="379"/>
      <c r="U58" s="379"/>
      <c r="V58" s="356" t="s">
        <v>2</v>
      </c>
      <c r="W58" s="357">
        <v>91999902</v>
      </c>
      <c r="X58" s="358" t="s">
        <v>506</v>
      </c>
      <c r="Y58" s="358" t="s">
        <v>531</v>
      </c>
      <c r="Z58" s="359">
        <v>3100</v>
      </c>
      <c r="AA58" s="360">
        <v>1500000</v>
      </c>
      <c r="AB58" s="358"/>
      <c r="AC58" s="361"/>
    </row>
    <row r="59" spans="1:29">
      <c r="A59" s="412"/>
      <c r="B59" s="371"/>
      <c r="C59" s="372"/>
      <c r="D59" s="372"/>
      <c r="E59" s="373"/>
      <c r="F59" s="372"/>
      <c r="G59" s="372"/>
      <c r="H59" s="372"/>
      <c r="I59" s="372"/>
      <c r="J59" s="372"/>
      <c r="K59" s="373"/>
      <c r="L59" s="373"/>
      <c r="M59" s="373"/>
      <c r="N59" s="373"/>
      <c r="O59" s="403"/>
      <c r="P59" s="355"/>
      <c r="Q59" s="379"/>
      <c r="R59" s="379"/>
      <c r="S59" s="379"/>
      <c r="T59" s="379"/>
      <c r="U59" s="379"/>
      <c r="V59" s="356" t="s">
        <v>2</v>
      </c>
      <c r="W59" s="357">
        <v>91999907</v>
      </c>
      <c r="X59" s="358" t="s">
        <v>603</v>
      </c>
      <c r="Y59" s="358" t="s">
        <v>531</v>
      </c>
      <c r="Z59" s="359">
        <v>3100</v>
      </c>
      <c r="AA59" s="360">
        <v>100</v>
      </c>
      <c r="AB59" s="447" t="s">
        <v>542</v>
      </c>
      <c r="AC59" s="448"/>
    </row>
    <row r="60" spans="1:29">
      <c r="A60" s="420" t="s">
        <v>4</v>
      </c>
      <c r="B60" s="365">
        <f t="shared" ref="B60:O60" si="25">SUM(B49:B59)</f>
        <v>1126590</v>
      </c>
      <c r="C60" s="366">
        <f t="shared" si="25"/>
        <v>1163542</v>
      </c>
      <c r="D60" s="366">
        <f t="shared" si="25"/>
        <v>438625</v>
      </c>
      <c r="E60" s="366">
        <f t="shared" si="25"/>
        <v>4944958</v>
      </c>
      <c r="F60" s="366">
        <f t="shared" si="25"/>
        <v>1700000</v>
      </c>
      <c r="G60" s="366">
        <f t="shared" si="25"/>
        <v>130125</v>
      </c>
      <c r="H60" s="366">
        <f t="shared" si="25"/>
        <v>38357457</v>
      </c>
      <c r="I60" s="366">
        <f t="shared" si="25"/>
        <v>24480585</v>
      </c>
      <c r="J60" s="366">
        <f t="shared" si="25"/>
        <v>15797179</v>
      </c>
      <c r="K60" s="366">
        <f t="shared" si="25"/>
        <v>70000</v>
      </c>
      <c r="L60" s="366">
        <f t="shared" si="25"/>
        <v>20883900</v>
      </c>
      <c r="M60" s="366">
        <f t="shared" si="25"/>
        <v>0</v>
      </c>
      <c r="N60" s="366">
        <f t="shared" si="25"/>
        <v>0</v>
      </c>
      <c r="O60" s="540">
        <f t="shared" si="25"/>
        <v>200000</v>
      </c>
      <c r="P60" s="355">
        <f>SUM(B60:O60)</f>
        <v>109292961</v>
      </c>
      <c r="Q60" s="379"/>
      <c r="R60" s="379"/>
      <c r="S60" s="379"/>
      <c r="T60" s="379"/>
      <c r="U60" s="379"/>
      <c r="V60" s="356" t="s">
        <v>2</v>
      </c>
      <c r="W60" s="357">
        <v>91999901</v>
      </c>
      <c r="X60" s="358" t="s">
        <v>506</v>
      </c>
      <c r="Y60" s="358" t="s">
        <v>531</v>
      </c>
      <c r="Z60" s="359">
        <v>3210</v>
      </c>
      <c r="AA60" s="360">
        <v>2000000</v>
      </c>
      <c r="AB60" s="447"/>
      <c r="AC60" s="448"/>
    </row>
    <row r="61" spans="1:29">
      <c r="A61" s="421"/>
      <c r="B61" s="331"/>
      <c r="C61" s="332"/>
      <c r="D61" s="332"/>
      <c r="E61" s="340"/>
      <c r="F61" s="332"/>
      <c r="G61" s="332"/>
      <c r="H61" s="332"/>
      <c r="I61" s="332"/>
      <c r="J61" s="332"/>
      <c r="K61" s="340"/>
      <c r="L61" s="340"/>
      <c r="M61" s="340"/>
      <c r="N61" s="340"/>
      <c r="O61" s="401"/>
      <c r="P61" s="355"/>
      <c r="Q61" s="379"/>
      <c r="R61" s="379"/>
      <c r="S61" s="379"/>
      <c r="T61" s="379"/>
      <c r="U61" s="379"/>
      <c r="V61" s="356" t="s">
        <v>2</v>
      </c>
      <c r="W61" s="357">
        <v>91999902</v>
      </c>
      <c r="X61" s="358" t="s">
        <v>506</v>
      </c>
      <c r="Y61" s="358" t="s">
        <v>531</v>
      </c>
      <c r="Z61" s="359">
        <v>3210</v>
      </c>
      <c r="AA61" s="360">
        <v>2000000</v>
      </c>
      <c r="AB61" s="447"/>
      <c r="AC61" s="448"/>
    </row>
    <row r="62" spans="1:29" ht="14.4" thickBot="1">
      <c r="A62" s="417" t="s">
        <v>5</v>
      </c>
      <c r="B62" s="333">
        <f t="shared" ref="B62:O62" si="26">B45-B60</f>
        <v>15673410</v>
      </c>
      <c r="C62" s="334">
        <f t="shared" si="26"/>
        <v>15716458</v>
      </c>
      <c r="D62" s="334">
        <f t="shared" si="26"/>
        <v>18191375</v>
      </c>
      <c r="E62" s="334">
        <f t="shared" si="26"/>
        <v>8855042</v>
      </c>
      <c r="F62" s="334">
        <f t="shared" si="26"/>
        <v>17100000</v>
      </c>
      <c r="G62" s="334">
        <f t="shared" si="26"/>
        <v>11472375</v>
      </c>
      <c r="H62" s="334">
        <f t="shared" si="26"/>
        <v>115955793</v>
      </c>
      <c r="I62" s="334">
        <f t="shared" si="26"/>
        <v>69151590</v>
      </c>
      <c r="J62" s="334">
        <f t="shared" si="26"/>
        <v>57681083</v>
      </c>
      <c r="K62" s="334">
        <f t="shared" si="26"/>
        <v>11060000</v>
      </c>
      <c r="L62" s="334">
        <f t="shared" si="26"/>
        <v>69116100</v>
      </c>
      <c r="M62" s="334">
        <f t="shared" si="26"/>
        <v>7500000</v>
      </c>
      <c r="N62" s="334">
        <f t="shared" si="26"/>
        <v>9000000</v>
      </c>
      <c r="O62" s="404">
        <f t="shared" si="26"/>
        <v>1800000</v>
      </c>
      <c r="P62" s="355">
        <f>SUM(B62:O62)</f>
        <v>428273226</v>
      </c>
      <c r="Q62" s="379"/>
      <c r="R62" s="379"/>
      <c r="S62" s="379"/>
      <c r="T62" s="379"/>
      <c r="U62" s="379"/>
      <c r="V62" s="356" t="s">
        <v>2</v>
      </c>
      <c r="W62" s="357">
        <v>91999903</v>
      </c>
      <c r="X62" s="358" t="s">
        <v>510</v>
      </c>
      <c r="Y62" s="358" t="s">
        <v>531</v>
      </c>
      <c r="Z62" s="359">
        <v>3210</v>
      </c>
      <c r="AA62" s="360">
        <v>2000000</v>
      </c>
      <c r="AB62" s="447"/>
      <c r="AC62" s="448"/>
    </row>
    <row r="63" spans="1:29" ht="14.4" thickTop="1">
      <c r="A63" s="422"/>
      <c r="B63" s="331"/>
      <c r="C63" s="332"/>
      <c r="D63" s="332"/>
      <c r="E63" s="340"/>
      <c r="F63" s="332"/>
      <c r="G63" s="332"/>
      <c r="H63" s="332"/>
      <c r="I63" s="332"/>
      <c r="J63" s="332"/>
      <c r="K63" s="340"/>
      <c r="L63" s="340"/>
      <c r="M63" s="340"/>
      <c r="N63" s="340"/>
      <c r="O63" s="401"/>
      <c r="P63" s="355"/>
      <c r="Q63" s="379"/>
      <c r="R63" s="379"/>
      <c r="S63" s="379"/>
      <c r="T63" s="379"/>
      <c r="U63" s="379"/>
      <c r="V63" s="356" t="s">
        <v>2</v>
      </c>
      <c r="W63" s="357">
        <v>91999907</v>
      </c>
      <c r="X63" s="358" t="s">
        <v>603</v>
      </c>
      <c r="Y63" s="358" t="s">
        <v>531</v>
      </c>
      <c r="Z63" s="359">
        <v>3240</v>
      </c>
      <c r="AA63" s="360">
        <v>500</v>
      </c>
      <c r="AB63" s="447" t="s">
        <v>542</v>
      </c>
      <c r="AC63" s="448"/>
    </row>
    <row r="64" spans="1:29" ht="15.6">
      <c r="A64" s="411" t="s">
        <v>62</v>
      </c>
      <c r="B64" s="374"/>
      <c r="C64" s="405"/>
      <c r="D64" s="405"/>
      <c r="E64" s="370"/>
      <c r="F64" s="405"/>
      <c r="G64" s="405"/>
      <c r="H64" s="406"/>
      <c r="I64" s="405"/>
      <c r="J64" s="405"/>
      <c r="K64" s="370"/>
      <c r="L64" s="370"/>
      <c r="M64" s="370"/>
      <c r="N64" s="370"/>
      <c r="O64" s="383"/>
      <c r="P64" s="383"/>
      <c r="Q64" s="379"/>
      <c r="R64" s="379"/>
      <c r="S64" s="379"/>
      <c r="T64" s="379"/>
      <c r="U64" s="379"/>
      <c r="V64" s="356" t="s">
        <v>2</v>
      </c>
      <c r="W64" s="357">
        <v>91999908</v>
      </c>
      <c r="X64" s="358" t="s">
        <v>507</v>
      </c>
      <c r="Y64" s="358" t="s">
        <v>531</v>
      </c>
      <c r="Z64" s="359">
        <v>3240</v>
      </c>
      <c r="AA64" s="360">
        <v>600</v>
      </c>
      <c r="AB64" s="447" t="s">
        <v>542</v>
      </c>
      <c r="AC64" s="448"/>
    </row>
    <row r="65" spans="1:29">
      <c r="A65" s="424" t="s">
        <v>573</v>
      </c>
      <c r="B65" s="332">
        <f>ROUND(B98*'New Hire'!C57,0)</f>
        <v>1700000</v>
      </c>
      <c r="C65" s="332">
        <f>ROUND(C98*'New Hire'!D57,0)</f>
        <v>1636250</v>
      </c>
      <c r="D65" s="332">
        <f>ROUND(D98*'New Hire'!E57,0)</f>
        <v>55500</v>
      </c>
      <c r="E65" s="332">
        <f>ROUND(E98*'New Hire'!F57,0)</f>
        <v>1530000</v>
      </c>
      <c r="F65" s="332">
        <f>ROUND(F98*'New Hire'!G57,0)</f>
        <v>0</v>
      </c>
      <c r="G65" s="332">
        <f>ROUND(G98*'New Hire'!H57,0)</f>
        <v>0</v>
      </c>
      <c r="H65" s="332">
        <f>ROUND(H98*'New Hire'!I57,0)</f>
        <v>834000</v>
      </c>
      <c r="I65" s="332">
        <f>ROUND(I98*'New Hire'!J57,0)</f>
        <v>139000</v>
      </c>
      <c r="J65" s="332">
        <f>ROUND(J98*'New Hire'!K57,0)</f>
        <v>4726000</v>
      </c>
      <c r="K65" s="332">
        <f>ROUND(K98*'New Hire'!L57,0)</f>
        <v>0</v>
      </c>
      <c r="L65" s="332">
        <f>ROUND(L98*'New Hire'!M57,0)</f>
        <v>4726000</v>
      </c>
      <c r="M65" s="332">
        <f>ROUND(M98*'New Hire'!N57,0)</f>
        <v>0</v>
      </c>
      <c r="N65" s="332">
        <f>ROUND(N98*'New Hire'!O57,0)</f>
        <v>0</v>
      </c>
      <c r="O65" s="400">
        <f>ROUND(O98*'New Hire'!P57,0)</f>
        <v>0</v>
      </c>
      <c r="P65" s="346">
        <f t="shared" ref="P65:P70" si="27">SUM(B65:O65)</f>
        <v>15346750</v>
      </c>
      <c r="Q65" s="379"/>
      <c r="R65" s="379"/>
      <c r="S65" s="379"/>
      <c r="T65" s="379"/>
      <c r="U65" s="379"/>
      <c r="V65" s="356" t="s">
        <v>2</v>
      </c>
      <c r="W65" s="357">
        <v>91999908</v>
      </c>
      <c r="X65" s="358" t="s">
        <v>507</v>
      </c>
      <c r="Y65" s="358" t="s">
        <v>531</v>
      </c>
      <c r="Z65" s="359">
        <v>8200</v>
      </c>
      <c r="AA65" s="360">
        <v>50</v>
      </c>
      <c r="AB65" s="447" t="s">
        <v>542</v>
      </c>
      <c r="AC65" s="448"/>
    </row>
    <row r="66" spans="1:29">
      <c r="A66" s="445" t="s">
        <v>574</v>
      </c>
      <c r="B66" s="332">
        <f>ROUND(MIN(B100,83600000)*'New Hire'!C60,0)</f>
        <v>100000</v>
      </c>
      <c r="C66" s="332">
        <f>ROUND(MIN(C100,83600000)*'New Hire'!D60,0)</f>
        <v>93500</v>
      </c>
      <c r="D66" s="332">
        <f>ROUND(MIN(D100,83600000)*'New Hire'!E60,0)</f>
        <v>111000</v>
      </c>
      <c r="E66" s="332">
        <f>ROUND(MIN(E100,83600000)*'New Hire'!F60,0)</f>
        <v>90000</v>
      </c>
      <c r="F66" s="332">
        <f>ROUND(MIN(F100,83600000)*'New Hire'!G60,0)</f>
        <v>0</v>
      </c>
      <c r="G66" s="332">
        <f>ROUND(MIN(G100,83600000)*'New Hire'!H60,0)</f>
        <v>0</v>
      </c>
      <c r="H66" s="332">
        <f>ROUND(MIN(H100,83600000)*'New Hire'!I60,0)</f>
        <v>0</v>
      </c>
      <c r="I66" s="332">
        <f>ROUND(MIN(I100,83600000)*'New Hire'!J60,0)</f>
        <v>0</v>
      </c>
      <c r="J66" s="332">
        <f>ROUND(MIN(J100,83600000)*'New Hire'!K60,0)</f>
        <v>650000</v>
      </c>
      <c r="K66" s="332">
        <f>ROUND(MIN(K100,83600000)*'New Hire'!L60,0)</f>
        <v>0</v>
      </c>
      <c r="L66" s="332">
        <f>ROUND(MIN(L100,83600000)*'New Hire'!M60,0)</f>
        <v>836000</v>
      </c>
      <c r="M66" s="332">
        <f>ROUND(MIN(M100,83600000)*'New Hire'!N60,0)</f>
        <v>0</v>
      </c>
      <c r="N66" s="332">
        <f>ROUND(MIN(N100,83600000)*'New Hire'!O60,0)</f>
        <v>0</v>
      </c>
      <c r="O66" s="400">
        <f>ROUND(MIN(O100,83600000)*'New Hire'!P60,0)</f>
        <v>0</v>
      </c>
      <c r="P66" s="346">
        <f t="shared" si="27"/>
        <v>1880500</v>
      </c>
      <c r="Q66" s="379"/>
      <c r="R66" s="379"/>
      <c r="S66" s="379"/>
      <c r="T66" s="379"/>
      <c r="U66" s="379"/>
      <c r="V66" s="356" t="s">
        <v>2</v>
      </c>
      <c r="W66" s="357">
        <v>91999908</v>
      </c>
      <c r="X66" s="358" t="s">
        <v>507</v>
      </c>
      <c r="Y66" s="358" t="s">
        <v>531</v>
      </c>
      <c r="Z66" s="359">
        <v>8205</v>
      </c>
      <c r="AA66" s="360">
        <v>60</v>
      </c>
      <c r="AB66" s="447" t="s">
        <v>542</v>
      </c>
      <c r="AC66" s="448"/>
    </row>
    <row r="67" spans="1:29">
      <c r="A67" s="445" t="s">
        <v>575</v>
      </c>
      <c r="B67" s="332">
        <f>ROUND(B98*'New Hire'!C63,0)</f>
        <v>300000</v>
      </c>
      <c r="C67" s="332">
        <f>ROUND(C98*'New Hire'!D63,0)</f>
        <v>280500</v>
      </c>
      <c r="D67" s="332">
        <f>ROUND(D98*'New Hire'!E63,0)</f>
        <v>333000</v>
      </c>
      <c r="E67" s="332">
        <f>ROUND(E98*'New Hire'!F63,0)</f>
        <v>270000</v>
      </c>
      <c r="F67" s="332">
        <f>ROUND(F98*'New Hire'!G63,0)</f>
        <v>0</v>
      </c>
      <c r="G67" s="332">
        <f>ROUND(G98*'New Hire'!H63,0)</f>
        <v>0</v>
      </c>
      <c r="H67" s="332">
        <f>ROUND(H98*'New Hire'!I63,0)</f>
        <v>834000</v>
      </c>
      <c r="I67" s="332">
        <f>ROUND(I98*'New Hire'!J63,0)</f>
        <v>834000</v>
      </c>
      <c r="J67" s="332">
        <f>ROUND(J98*'New Hire'!K63,0)</f>
        <v>834000</v>
      </c>
      <c r="K67" s="332">
        <f>ROUND(K98*'New Hire'!L63,0)</f>
        <v>0</v>
      </c>
      <c r="L67" s="332">
        <f>ROUND(L98*'New Hire'!M63,0)</f>
        <v>834000</v>
      </c>
      <c r="M67" s="332">
        <f>ROUND(M98*'New Hire'!N63,0)</f>
        <v>0</v>
      </c>
      <c r="N67" s="332">
        <f>ROUND(N98*'New Hire'!O63,0)</f>
        <v>0</v>
      </c>
      <c r="O67" s="400">
        <f>ROUND(O98*'New Hire'!P63,0)</f>
        <v>0</v>
      </c>
      <c r="P67" s="346">
        <f t="shared" si="27"/>
        <v>4519500</v>
      </c>
      <c r="Q67" s="379"/>
      <c r="R67" s="379"/>
      <c r="S67" s="379"/>
      <c r="T67" s="379"/>
      <c r="U67" s="379"/>
      <c r="V67" s="356" t="s">
        <v>2</v>
      </c>
      <c r="W67" s="357">
        <v>91999904</v>
      </c>
      <c r="X67" s="358" t="s">
        <v>507</v>
      </c>
      <c r="Y67" s="358" t="s">
        <v>531</v>
      </c>
      <c r="Z67" s="359">
        <v>8200</v>
      </c>
      <c r="AA67" s="360">
        <v>1000000</v>
      </c>
      <c r="AB67" s="447"/>
      <c r="AC67" s="448"/>
    </row>
    <row r="68" spans="1:29">
      <c r="A68" s="412" t="s">
        <v>1131</v>
      </c>
      <c r="B68" s="332">
        <f t="shared" ref="B68:O68" si="28">ROUND(MIN(B98,29800000)*2%,0)</f>
        <v>200000</v>
      </c>
      <c r="C68" s="332">
        <f t="shared" si="28"/>
        <v>187000</v>
      </c>
      <c r="D68" s="332">
        <f t="shared" si="28"/>
        <v>222000</v>
      </c>
      <c r="E68" s="332">
        <f t="shared" si="28"/>
        <v>180000</v>
      </c>
      <c r="F68" s="332">
        <f t="shared" si="28"/>
        <v>280000</v>
      </c>
      <c r="G68" s="332">
        <f t="shared" si="28"/>
        <v>0</v>
      </c>
      <c r="H68" s="332">
        <f t="shared" si="28"/>
        <v>556000</v>
      </c>
      <c r="I68" s="332">
        <f t="shared" si="28"/>
        <v>556000</v>
      </c>
      <c r="J68" s="368">
        <f t="shared" si="28"/>
        <v>556000</v>
      </c>
      <c r="K68" s="332">
        <f t="shared" si="28"/>
        <v>208000</v>
      </c>
      <c r="L68" s="332">
        <f t="shared" si="28"/>
        <v>556000</v>
      </c>
      <c r="M68" s="332">
        <f t="shared" si="28"/>
        <v>150000</v>
      </c>
      <c r="N68" s="332">
        <f t="shared" si="28"/>
        <v>180000</v>
      </c>
      <c r="O68" s="400">
        <f t="shared" si="28"/>
        <v>0</v>
      </c>
      <c r="P68" s="346">
        <f t="shared" si="27"/>
        <v>3831000</v>
      </c>
      <c r="Q68" s="379"/>
      <c r="R68" s="379"/>
      <c r="S68" s="379"/>
      <c r="T68" s="379"/>
      <c r="U68" s="379"/>
      <c r="V68" s="356" t="s">
        <v>2</v>
      </c>
      <c r="W68" s="357">
        <v>91999904</v>
      </c>
      <c r="X68" s="358" t="s">
        <v>507</v>
      </c>
      <c r="Y68" s="358" t="s">
        <v>531</v>
      </c>
      <c r="Z68" s="359">
        <v>8205</v>
      </c>
      <c r="AA68" s="360">
        <v>1500000</v>
      </c>
      <c r="AB68" s="447"/>
      <c r="AC68" s="448"/>
    </row>
    <row r="69" spans="1:29">
      <c r="A69" s="506" t="s">
        <v>1294</v>
      </c>
      <c r="B69" s="438"/>
      <c r="C69" s="438"/>
      <c r="D69" s="438"/>
      <c r="E69" s="438"/>
      <c r="F69" s="438"/>
      <c r="G69" s="438"/>
      <c r="H69" s="438"/>
      <c r="I69" s="438"/>
      <c r="J69" s="438">
        <f>'UAT1-Jan'!J65</f>
        <v>556000</v>
      </c>
      <c r="K69" s="438"/>
      <c r="L69" s="438"/>
      <c r="M69" s="438"/>
      <c r="N69" s="438"/>
      <c r="O69" s="511"/>
      <c r="P69" s="504">
        <f t="shared" si="27"/>
        <v>556000</v>
      </c>
      <c r="Q69" s="380"/>
      <c r="R69" s="379"/>
      <c r="S69" s="380"/>
      <c r="T69" s="380"/>
      <c r="U69" s="380"/>
      <c r="V69" s="356" t="s">
        <v>2</v>
      </c>
      <c r="W69" s="357">
        <v>91999908</v>
      </c>
      <c r="X69" s="447" t="s">
        <v>891</v>
      </c>
      <c r="Y69" s="358" t="s">
        <v>531</v>
      </c>
      <c r="Z69" s="359">
        <v>3601</v>
      </c>
      <c r="AA69" s="360">
        <v>150</v>
      </c>
      <c r="AB69" s="447" t="s">
        <v>893</v>
      </c>
      <c r="AC69" s="448"/>
    </row>
    <row r="70" spans="1:29">
      <c r="A70" s="445" t="s">
        <v>512</v>
      </c>
      <c r="B70" s="332">
        <f t="shared" ref="B70:H70" si="29">IF(OR(B18="A",B18="B"),B91,ROUND(B91*B13%,0))</f>
        <v>613699</v>
      </c>
      <c r="C70" s="332">
        <f t="shared" si="29"/>
        <v>613699</v>
      </c>
      <c r="D70" s="332">
        <f t="shared" si="29"/>
        <v>0</v>
      </c>
      <c r="E70" s="332">
        <f t="shared" si="29"/>
        <v>613699</v>
      </c>
      <c r="F70" s="332">
        <f t="shared" si="29"/>
        <v>613699</v>
      </c>
      <c r="G70" s="332">
        <f t="shared" si="29"/>
        <v>0</v>
      </c>
      <c r="H70" s="332">
        <f t="shared" si="29"/>
        <v>306850</v>
      </c>
      <c r="I70" s="332"/>
      <c r="J70" s="332"/>
      <c r="K70" s="340"/>
      <c r="L70" s="340"/>
      <c r="M70" s="340"/>
      <c r="N70" s="340"/>
      <c r="O70" s="401"/>
      <c r="P70" s="346">
        <f t="shared" si="27"/>
        <v>2761646</v>
      </c>
      <c r="Q70" s="379"/>
      <c r="R70" s="379"/>
      <c r="S70" s="379"/>
      <c r="T70" s="379"/>
      <c r="U70" s="379"/>
      <c r="V70" s="356" t="s">
        <v>2</v>
      </c>
      <c r="W70" s="357">
        <v>91999910</v>
      </c>
      <c r="X70" s="447" t="s">
        <v>892</v>
      </c>
      <c r="Y70" s="358" t="s">
        <v>531</v>
      </c>
      <c r="Z70" s="359">
        <v>3601</v>
      </c>
      <c r="AA70" s="360">
        <v>4000000</v>
      </c>
      <c r="AB70" s="447"/>
      <c r="AC70" s="448"/>
    </row>
    <row r="71" spans="1:29">
      <c r="A71" s="412"/>
      <c r="B71" s="331"/>
      <c r="C71" s="332"/>
      <c r="D71" s="332"/>
      <c r="E71" s="340"/>
      <c r="F71" s="332"/>
      <c r="G71" s="332"/>
      <c r="H71" s="332"/>
      <c r="I71" s="332"/>
      <c r="J71" s="332"/>
      <c r="K71" s="340"/>
      <c r="L71" s="340"/>
      <c r="M71" s="340"/>
      <c r="N71" s="340"/>
      <c r="O71" s="401"/>
      <c r="P71" s="346"/>
      <c r="Q71" s="379"/>
      <c r="R71" s="379"/>
      <c r="S71" s="379"/>
      <c r="T71" s="379"/>
      <c r="U71" s="379"/>
      <c r="V71" s="32"/>
      <c r="W71" s="44"/>
      <c r="X71" s="13"/>
      <c r="Y71" s="13"/>
      <c r="Z71" s="13"/>
      <c r="AA71" s="362"/>
      <c r="AB71" s="13"/>
      <c r="AC71" s="18"/>
    </row>
    <row r="72" spans="1:29" ht="15.6">
      <c r="A72" s="411" t="s">
        <v>475</v>
      </c>
      <c r="B72" s="331"/>
      <c r="C72" s="332"/>
      <c r="D72" s="332"/>
      <c r="E72" s="340"/>
      <c r="F72" s="332"/>
      <c r="G72" s="332"/>
      <c r="H72" s="332"/>
      <c r="I72" s="332"/>
      <c r="J72" s="332"/>
      <c r="K72" s="340"/>
      <c r="L72" s="340"/>
      <c r="M72" s="340"/>
      <c r="N72" s="340"/>
      <c r="O72" s="401"/>
      <c r="P72" s="346"/>
      <c r="Q72" s="379"/>
      <c r="R72" s="379"/>
      <c r="S72" s="379"/>
      <c r="T72" s="379"/>
      <c r="U72" s="379"/>
      <c r="V72" s="32"/>
      <c r="W72" s="44"/>
      <c r="X72" s="13"/>
      <c r="Y72" s="13"/>
      <c r="Z72" s="13"/>
      <c r="AA72" s="362"/>
      <c r="AB72" s="13"/>
      <c r="AC72" s="18"/>
    </row>
    <row r="73" spans="1:29">
      <c r="A73" s="445" t="s">
        <v>476</v>
      </c>
      <c r="B73" s="332">
        <f>IF(AND(OR(B11="1",B11="P"),'New Hire'!C28="Local"),ROUND(B143*B13%*B89,0),0)+'UAT1-Jan'!B69</f>
        <v>815473</v>
      </c>
      <c r="C73" s="332">
        <f>IF(AND(OR(C11="1",C11="P"),'New Hire'!D28="Local"),ROUND(C143*C13%*C89,0),0)+'UAT1-Jan'!C69</f>
        <v>366963</v>
      </c>
      <c r="D73" s="332">
        <f>IF(AND(OR(D11="1",D11="P"),'New Hire'!E28="Local"),ROUND(D143*D13%*D89,0),0)+'UAT1-Jan'!D69</f>
        <v>0</v>
      </c>
      <c r="E73" s="332">
        <f>IF(AND(OR(E11="1",E11="P"),'New Hire'!F28="Local"),ROUND(E143*E13%*E89,0),0)+'UAT1-Jan'!E69</f>
        <v>0</v>
      </c>
      <c r="F73" s="332">
        <f>IF(AND(OR(F11="1",F11="P"),'New Hire'!G28="Local"),ROUND(F143*F13%*F89,0),0)+'UAT1-Jan'!F69</f>
        <v>0</v>
      </c>
      <c r="G73" s="332">
        <f>IF(AND(OR(G11="1",G11="P"),'New Hire'!H28="Local"),ROUND(G143*G13%*G89,0),0)+'UAT1-Jan'!G69</f>
        <v>0</v>
      </c>
      <c r="H73" s="332">
        <f>IF(AND(OR(H11="1",H11="P"),'New Hire'!I28="Local"),ROUND(H143*H13%*H89,0),0)+'UAT1-Jan'!H69</f>
        <v>0</v>
      </c>
      <c r="I73" s="332">
        <f>IF(AND(OR(I11="1",I11="P"),'New Hire'!J28="Local"),ROUND(I143*I13%*I89,0),0)+'UAT1-Jan'!I69</f>
        <v>0</v>
      </c>
      <c r="J73" s="332">
        <f>IF(AND(OR(J11="1",J11="P"),'New Hire'!K28="Local"),ROUND(J143*J13%*J89,0),0)+'UAT1-Jan'!J69</f>
        <v>2197665</v>
      </c>
      <c r="K73" s="332">
        <f>IF(AND(OR(K11="1",K11="P"),'New Hire'!L28="Local"),ROUND(K143*K13%*K89,0),0)+'UAT1-Jan'!K69</f>
        <v>1304757</v>
      </c>
      <c r="L73" s="332">
        <f>IF(AND(OR(L11="1",L11="P"),'New Hire'!M28="Local"),ROUND(L143*L13%*L89,0),0)+'UAT1-Jan'!L69</f>
        <v>14678514</v>
      </c>
      <c r="M73" s="332">
        <f>IF(AND(OR(M11="1",M11="P"),'New Hire'!N28="Local"),ROUND(M143*M13%*M89,0),0)+'UAT1-Jan'!M69</f>
        <v>0</v>
      </c>
      <c r="N73" s="332">
        <f>IF(AND(OR(N11="1",N11="P"),'New Hire'!O28="Local"),ROUND(N143*N13%*N89,0),0)+'UAT1-Jan'!N69</f>
        <v>0</v>
      </c>
      <c r="O73" s="400">
        <f>IF(AND(OR(O11="1",O11="P"),'New Hire'!P28="Local"),ROUND(O143*O13%*O89,0),0)+'UAT1-Jan'!O69</f>
        <v>0</v>
      </c>
      <c r="P73" s="346">
        <f>SUM(B73:O73)</f>
        <v>19363372</v>
      </c>
      <c r="Q73" s="379"/>
      <c r="R73" s="379"/>
      <c r="S73" s="379"/>
      <c r="T73" s="379"/>
      <c r="U73" s="379"/>
      <c r="V73" s="42"/>
      <c r="W73" s="43"/>
      <c r="X73" s="13"/>
      <c r="Y73" s="13"/>
      <c r="Z73" s="61"/>
      <c r="AA73" s="362"/>
      <c r="AB73" s="13"/>
      <c r="AC73" s="18"/>
    </row>
    <row r="74" spans="1:29">
      <c r="A74" s="445" t="s">
        <v>484</v>
      </c>
      <c r="B74" s="617"/>
      <c r="C74" s="617">
        <f>'UAT1-Jan'!C70</f>
        <v>2.5</v>
      </c>
      <c r="D74" s="617"/>
      <c r="E74" s="617"/>
      <c r="F74" s="617"/>
      <c r="G74" s="617"/>
      <c r="H74" s="617">
        <f>CEILING(('UAT1-Jan'!AB73+'UAT1-Jan'!H14+H14)/261,0.5)</f>
        <v>5</v>
      </c>
      <c r="I74" s="617">
        <f>CEILING(('UAT1-Jan'!I14+I14)/261,0.5)</f>
        <v>0.5</v>
      </c>
      <c r="J74" s="617"/>
      <c r="K74" s="617"/>
      <c r="L74" s="617"/>
      <c r="M74" s="617"/>
      <c r="N74" s="617">
        <f>'UAT1-Jan'!N70</f>
        <v>1.5</v>
      </c>
      <c r="O74" s="619"/>
      <c r="P74" s="618">
        <f>SUM(B74:O74)</f>
        <v>9.5</v>
      </c>
      <c r="Q74" s="379"/>
      <c r="R74" s="379"/>
      <c r="S74" s="379"/>
      <c r="T74" s="379"/>
      <c r="U74" s="379"/>
      <c r="V74" s="24" t="s">
        <v>57</v>
      </c>
      <c r="W74" s="37" t="s">
        <v>67</v>
      </c>
      <c r="X74" s="37" t="s">
        <v>69</v>
      </c>
      <c r="Y74" s="37" t="s">
        <v>70</v>
      </c>
      <c r="Z74" s="62" t="s">
        <v>425</v>
      </c>
      <c r="AA74" s="363" t="s">
        <v>426</v>
      </c>
      <c r="AB74" s="37" t="s">
        <v>56</v>
      </c>
      <c r="AC74" s="38" t="s">
        <v>683</v>
      </c>
    </row>
    <row r="75" spans="1:29">
      <c r="A75" s="445" t="s">
        <v>587</v>
      </c>
      <c r="B75" s="332">
        <f>B102+'UAT1-Jan'!B71</f>
        <v>20600000</v>
      </c>
      <c r="C75" s="332">
        <f>C102+'UAT1-Jan'!C71</f>
        <v>20760000</v>
      </c>
      <c r="D75" s="332">
        <f>D102+'UAT1-Jan'!D71</f>
        <v>27260000</v>
      </c>
      <c r="E75" s="332">
        <f>E102+'UAT1-Jan'!E71</f>
        <v>21600000</v>
      </c>
      <c r="F75" s="332">
        <f>F102+'UAT1-Jan'!F71</f>
        <v>31600000</v>
      </c>
      <c r="G75" s="332">
        <f>G102+'UAT1-Jan'!G71</f>
        <v>0</v>
      </c>
      <c r="H75" s="332">
        <f>H102+'UAT1-Jan'!H71</f>
        <v>303985500</v>
      </c>
      <c r="I75" s="332">
        <f>I102+'UAT1-Jan'!I71</f>
        <v>187264350</v>
      </c>
      <c r="J75" s="332">
        <f>J102+'UAT1-Jan'!J71</f>
        <v>130000000</v>
      </c>
      <c r="K75" s="332">
        <f>K102+'UAT1-Jan'!K71</f>
        <v>22260000</v>
      </c>
      <c r="L75" s="332">
        <f>L102+'UAT1-Jan'!L71</f>
        <v>180000000</v>
      </c>
      <c r="M75" s="332">
        <f>M102+'UAT1-Jan'!M71</f>
        <v>15000000</v>
      </c>
      <c r="N75" s="332">
        <f>N102+'UAT1-Jan'!N71</f>
        <v>18000000</v>
      </c>
      <c r="O75" s="400">
        <f>O102+'UAT1-Jan'!O71</f>
        <v>0</v>
      </c>
      <c r="P75" s="346">
        <f>SUM(B75:O75)</f>
        <v>978329850</v>
      </c>
      <c r="Q75" s="379"/>
      <c r="R75" s="379"/>
      <c r="S75" s="379"/>
      <c r="T75" s="379"/>
      <c r="U75" s="379"/>
      <c r="V75" s="49" t="s">
        <v>424</v>
      </c>
      <c r="W75" s="353">
        <v>91999906</v>
      </c>
      <c r="X75" s="289" t="s">
        <v>687</v>
      </c>
      <c r="Y75" s="289" t="s">
        <v>687</v>
      </c>
      <c r="Z75" s="292">
        <v>0.375</v>
      </c>
      <c r="AA75" s="292">
        <v>0.47916666666666669</v>
      </c>
      <c r="AB75" s="290">
        <v>9180</v>
      </c>
      <c r="AC75" s="479">
        <v>2.5</v>
      </c>
    </row>
    <row r="76" spans="1:29">
      <c r="A76" s="412"/>
      <c r="B76" s="331"/>
      <c r="C76" s="332"/>
      <c r="D76" s="332"/>
      <c r="E76" s="340"/>
      <c r="F76" s="332"/>
      <c r="G76" s="332"/>
      <c r="H76" s="332"/>
      <c r="I76" s="332"/>
      <c r="J76" s="332"/>
      <c r="K76" s="340"/>
      <c r="L76" s="340"/>
      <c r="M76" s="340"/>
      <c r="N76" s="340"/>
      <c r="O76" s="401"/>
      <c r="P76" s="346"/>
      <c r="Q76" s="379"/>
      <c r="R76" s="379"/>
      <c r="S76" s="379"/>
      <c r="T76" s="379"/>
      <c r="U76" s="379"/>
      <c r="V76" s="49" t="s">
        <v>423</v>
      </c>
      <c r="W76" s="353">
        <v>91999914</v>
      </c>
      <c r="X76" s="289" t="s">
        <v>688</v>
      </c>
      <c r="Y76" s="289" t="s">
        <v>688</v>
      </c>
      <c r="Z76" s="292">
        <v>0.375</v>
      </c>
      <c r="AA76" s="292">
        <v>0.47916666666666669</v>
      </c>
      <c r="AB76" s="290">
        <v>9180</v>
      </c>
      <c r="AC76" s="479">
        <v>2.5</v>
      </c>
    </row>
    <row r="77" spans="1:29" ht="15.6">
      <c r="A77" s="411" t="s">
        <v>889</v>
      </c>
      <c r="B77" s="480"/>
      <c r="C77" s="480"/>
      <c r="D77" s="480"/>
      <c r="E77" s="480"/>
      <c r="F77" s="480"/>
      <c r="G77" s="480"/>
      <c r="H77" s="480"/>
      <c r="I77" s="480"/>
      <c r="J77" s="590"/>
      <c r="K77" s="480"/>
      <c r="L77" s="480"/>
      <c r="M77" s="480"/>
      <c r="N77" s="480"/>
      <c r="O77" s="588"/>
      <c r="P77" s="346"/>
      <c r="Q77" s="379"/>
      <c r="R77" s="379"/>
      <c r="S77" s="379"/>
      <c r="T77" s="379"/>
      <c r="U77" s="379"/>
      <c r="V77" s="33"/>
      <c r="W77" s="45"/>
      <c r="X77" s="13"/>
      <c r="Y77" s="13"/>
      <c r="Z77" s="13"/>
      <c r="AA77" s="13"/>
      <c r="AB77" s="13"/>
      <c r="AC77" s="18"/>
    </row>
    <row r="78" spans="1:29">
      <c r="A78" s="474" t="s">
        <v>885</v>
      </c>
      <c r="B78" s="340">
        <f t="shared" ref="B78:O78" si="30">B84*B116</f>
        <v>192320</v>
      </c>
      <c r="C78" s="340">
        <f t="shared" si="30"/>
        <v>77868</v>
      </c>
      <c r="D78" s="340">
        <f t="shared" si="30"/>
        <v>264051.55</v>
      </c>
      <c r="E78" s="340">
        <f t="shared" si="30"/>
        <v>346160</v>
      </c>
      <c r="F78" s="340">
        <f t="shared" si="30"/>
        <v>430784</v>
      </c>
      <c r="G78" s="340">
        <f t="shared" si="30"/>
        <v>0</v>
      </c>
      <c r="H78" s="340">
        <f t="shared" si="30"/>
        <v>25168520</v>
      </c>
      <c r="I78" s="340">
        <f t="shared" si="30"/>
        <v>0</v>
      </c>
      <c r="J78" s="453">
        <f t="shared" si="30"/>
        <v>532682.07999999996</v>
      </c>
      <c r="K78" s="340">
        <f t="shared" si="30"/>
        <v>307680</v>
      </c>
      <c r="L78" s="340">
        <f t="shared" si="30"/>
        <v>3461520</v>
      </c>
      <c r="M78" s="340">
        <f t="shared" si="30"/>
        <v>192320</v>
      </c>
      <c r="N78" s="340">
        <f t="shared" si="30"/>
        <v>250000</v>
      </c>
      <c r="O78" s="401">
        <f t="shared" si="30"/>
        <v>0</v>
      </c>
      <c r="P78" s="346">
        <f t="shared" ref="P78:P81" si="31">SUM(B78:O78)-J78</f>
        <v>30691223.550000001</v>
      </c>
      <c r="Q78" s="379"/>
      <c r="R78" s="379"/>
      <c r="S78" s="379"/>
      <c r="T78" s="379"/>
      <c r="U78" s="379"/>
      <c r="V78" s="33"/>
      <c r="W78" s="45"/>
      <c r="X78" s="13"/>
      <c r="Y78" s="13"/>
      <c r="Z78" s="13"/>
      <c r="AA78" s="13"/>
      <c r="AB78" s="13"/>
      <c r="AC78" s="18"/>
    </row>
    <row r="79" spans="1:29">
      <c r="A79" s="474" t="s">
        <v>886</v>
      </c>
      <c r="B79" s="340">
        <f t="shared" ref="B79:O79" si="32">B115*B84</f>
        <v>384640</v>
      </c>
      <c r="C79" s="340">
        <f t="shared" si="32"/>
        <v>155736</v>
      </c>
      <c r="D79" s="340">
        <f t="shared" si="32"/>
        <v>528069.45000000007</v>
      </c>
      <c r="E79" s="340">
        <f t="shared" si="32"/>
        <v>692320</v>
      </c>
      <c r="F79" s="340">
        <f t="shared" si="32"/>
        <v>861568</v>
      </c>
      <c r="G79" s="340">
        <f t="shared" si="32"/>
        <v>0</v>
      </c>
      <c r="H79" s="340">
        <f t="shared" si="32"/>
        <v>50337040</v>
      </c>
      <c r="I79" s="340">
        <f t="shared" si="32"/>
        <v>0</v>
      </c>
      <c r="J79" s="453">
        <f t="shared" si="32"/>
        <v>1065364.1599999999</v>
      </c>
      <c r="K79" s="340">
        <f t="shared" si="32"/>
        <v>615360</v>
      </c>
      <c r="L79" s="340">
        <f t="shared" si="32"/>
        <v>6923040</v>
      </c>
      <c r="M79" s="340">
        <f t="shared" si="32"/>
        <v>384640</v>
      </c>
      <c r="N79" s="340">
        <f t="shared" si="32"/>
        <v>500000</v>
      </c>
      <c r="O79" s="401">
        <f t="shared" si="32"/>
        <v>0</v>
      </c>
      <c r="P79" s="346">
        <f t="shared" si="31"/>
        <v>61382413.450000003</v>
      </c>
      <c r="Q79" s="379"/>
      <c r="R79" s="379"/>
      <c r="S79" s="379"/>
      <c r="T79" s="379"/>
      <c r="U79" s="379"/>
      <c r="V79" s="32"/>
      <c r="W79" s="44"/>
      <c r="X79" s="13"/>
      <c r="Y79" s="13"/>
      <c r="Z79" s="13"/>
      <c r="AA79" s="13"/>
      <c r="AB79" s="13"/>
      <c r="AC79" s="18"/>
    </row>
    <row r="80" spans="1:29">
      <c r="A80" s="474" t="s">
        <v>887</v>
      </c>
      <c r="B80" s="340">
        <f>ROUND((B143+B135+B136)*12*AB33*B15/266,0)</f>
        <v>466286</v>
      </c>
      <c r="C80" s="340"/>
      <c r="D80" s="340"/>
      <c r="E80" s="340"/>
      <c r="F80" s="340"/>
      <c r="G80" s="340"/>
      <c r="H80" s="340">
        <f>ROUND((H143+H135+H136)*12*AB34*H15/266,0)</f>
        <v>55105768</v>
      </c>
      <c r="I80" s="340"/>
      <c r="J80" s="453"/>
      <c r="K80" s="340"/>
      <c r="L80" s="340"/>
      <c r="M80" s="340"/>
      <c r="N80" s="340"/>
      <c r="O80" s="401"/>
      <c r="P80" s="346">
        <f t="shared" si="31"/>
        <v>55572054</v>
      </c>
      <c r="Q80" s="379"/>
      <c r="R80" s="379"/>
      <c r="S80" s="379"/>
      <c r="T80" s="379"/>
      <c r="U80" s="379"/>
      <c r="V80" s="34"/>
      <c r="W80" s="46"/>
      <c r="X80" s="35"/>
      <c r="Y80" s="35"/>
      <c r="Z80" s="35"/>
      <c r="AA80" s="35"/>
      <c r="AB80" s="35"/>
      <c r="AC80" s="36"/>
    </row>
    <row r="81" spans="1:29">
      <c r="A81" s="474" t="s">
        <v>888</v>
      </c>
      <c r="B81" s="340"/>
      <c r="C81" s="340">
        <f>ROUND(C74*C24*50%,0)</f>
        <v>5625000</v>
      </c>
      <c r="D81" s="340"/>
      <c r="E81" s="340"/>
      <c r="F81" s="340"/>
      <c r="G81" s="340"/>
      <c r="H81" s="340">
        <f>ROUND(H74*H24*50%,0)</f>
        <v>272658750</v>
      </c>
      <c r="I81" s="340"/>
      <c r="J81" s="340"/>
      <c r="K81" s="340"/>
      <c r="L81" s="340"/>
      <c r="M81" s="340"/>
      <c r="N81" s="340">
        <f>ROUND(N74*N24*50%,0)</f>
        <v>4875000</v>
      </c>
      <c r="O81" s="401">
        <f>IF(OR(O18="A",O18="B"),ROUND(O74*O128*50%,0),ROUND(O74*O128*$B$4*50%,0))</f>
        <v>0</v>
      </c>
      <c r="P81" s="346">
        <f t="shared" si="31"/>
        <v>283158750</v>
      </c>
      <c r="Q81" s="379"/>
      <c r="R81" s="379"/>
      <c r="S81" s="379"/>
      <c r="T81" s="379"/>
      <c r="U81" s="379"/>
    </row>
    <row r="82" spans="1:29">
      <c r="A82" s="474"/>
      <c r="B82" s="480"/>
      <c r="C82" s="480"/>
      <c r="D82" s="480"/>
      <c r="E82" s="480"/>
      <c r="F82" s="480"/>
      <c r="G82" s="480"/>
      <c r="H82" s="480"/>
      <c r="I82" s="480"/>
      <c r="J82" s="590"/>
      <c r="K82" s="480"/>
      <c r="L82" s="480"/>
      <c r="M82" s="480"/>
      <c r="N82" s="480"/>
      <c r="O82" s="588"/>
      <c r="P82" s="346"/>
      <c r="Q82" s="379"/>
      <c r="R82" s="379"/>
      <c r="S82" s="379"/>
      <c r="T82" s="379"/>
      <c r="U82" s="379"/>
      <c r="V82"/>
      <c r="W82"/>
      <c r="X82"/>
      <c r="Y82"/>
      <c r="Z82"/>
      <c r="AA82"/>
      <c r="AB82"/>
      <c r="AC82"/>
    </row>
    <row r="83" spans="1:29" ht="15.6">
      <c r="A83" s="411" t="s">
        <v>485</v>
      </c>
      <c r="B83" s="331"/>
      <c r="C83" s="332"/>
      <c r="D83" s="332"/>
      <c r="E83" s="340"/>
      <c r="F83" s="332"/>
      <c r="G83" s="332"/>
      <c r="H83" s="332"/>
      <c r="I83" s="332"/>
      <c r="J83" s="332"/>
      <c r="K83" s="340"/>
      <c r="L83" s="340"/>
      <c r="M83" s="340"/>
      <c r="N83" s="340"/>
      <c r="O83" s="401"/>
      <c r="P83" s="346"/>
      <c r="Q83" s="341"/>
      <c r="R83" s="341"/>
      <c r="S83" s="341"/>
      <c r="T83" s="341"/>
      <c r="U83" s="341"/>
      <c r="V83"/>
      <c r="W83"/>
      <c r="X83"/>
      <c r="Y83"/>
      <c r="Z83"/>
      <c r="AA83"/>
      <c r="AB83"/>
      <c r="AC83"/>
    </row>
    <row r="84" spans="1:29">
      <c r="A84" s="445" t="s">
        <v>490</v>
      </c>
      <c r="B84" s="332">
        <f t="shared" ref="B84:O84" si="33">IF(OR(B18="A",B18="B"),IF(B11&lt;&gt;"C",ROUND(B128/52/40,0),0),IF(B11&lt;&gt;"C",ROUND(B143*12/52/40,0),0))</f>
        <v>2404</v>
      </c>
      <c r="C84" s="332">
        <f t="shared" si="33"/>
        <v>2163</v>
      </c>
      <c r="D84" s="332">
        <f t="shared" si="33"/>
        <v>3365</v>
      </c>
      <c r="E84" s="332">
        <f t="shared" si="33"/>
        <v>4327</v>
      </c>
      <c r="F84" s="332">
        <f t="shared" si="33"/>
        <v>6731</v>
      </c>
      <c r="G84" s="332">
        <f t="shared" si="33"/>
        <v>0</v>
      </c>
      <c r="H84" s="332">
        <f t="shared" si="33"/>
        <v>629213</v>
      </c>
      <c r="I84" s="332">
        <f t="shared" si="33"/>
        <v>495338</v>
      </c>
      <c r="J84" s="332">
        <f t="shared" si="33"/>
        <v>24038</v>
      </c>
      <c r="K84" s="332">
        <f t="shared" si="33"/>
        <v>3846</v>
      </c>
      <c r="L84" s="332">
        <f t="shared" si="33"/>
        <v>43269</v>
      </c>
      <c r="M84" s="332">
        <f t="shared" si="33"/>
        <v>2404</v>
      </c>
      <c r="N84" s="332">
        <f t="shared" si="33"/>
        <v>3125</v>
      </c>
      <c r="O84" s="400">
        <f t="shared" si="33"/>
        <v>0</v>
      </c>
      <c r="P84" s="346">
        <f>SUM(B84:O84)</f>
        <v>1220223</v>
      </c>
      <c r="Q84" s="341"/>
      <c r="R84" s="341"/>
      <c r="S84" s="341"/>
      <c r="T84" s="341"/>
      <c r="U84" s="341"/>
    </row>
    <row r="85" spans="1:29">
      <c r="A85" s="445" t="s">
        <v>501</v>
      </c>
      <c r="B85" s="332">
        <f t="shared" ref="B85:O85" si="34">IF(B11&lt;&gt;"C",IF(OR(B18="A",B18="B"),ROUND(SUM(B128,B130:B131,B134)*12/52/5*B13%,0),ROUND(SUM(B143,B130*$B$4,B131*$B$4,B134*$B$4)*12/52/5*B13%,0)),0)</f>
        <v>392308</v>
      </c>
      <c r="C85" s="332">
        <f t="shared" si="34"/>
        <v>181154</v>
      </c>
      <c r="D85" s="332">
        <f t="shared" si="34"/>
        <v>512308</v>
      </c>
      <c r="E85" s="332">
        <f t="shared" si="34"/>
        <v>415385</v>
      </c>
      <c r="F85" s="332">
        <f t="shared" si="34"/>
        <v>646154</v>
      </c>
      <c r="G85" s="332">
        <f t="shared" si="34"/>
        <v>0</v>
      </c>
      <c r="H85" s="332">
        <f t="shared" si="34"/>
        <v>3507525</v>
      </c>
      <c r="I85" s="332">
        <f t="shared" si="34"/>
        <v>4321485</v>
      </c>
      <c r="J85" s="332">
        <f t="shared" si="34"/>
        <v>1500000</v>
      </c>
      <c r="K85" s="332">
        <f t="shared" si="34"/>
        <v>480000</v>
      </c>
      <c r="L85" s="332">
        <f t="shared" si="34"/>
        <v>4153846</v>
      </c>
      <c r="M85" s="332">
        <f t="shared" si="34"/>
        <v>346154</v>
      </c>
      <c r="N85" s="332">
        <f t="shared" si="34"/>
        <v>415385</v>
      </c>
      <c r="O85" s="400">
        <f t="shared" si="34"/>
        <v>0</v>
      </c>
      <c r="P85" s="346">
        <f>SUM(B85:O85)</f>
        <v>16871704</v>
      </c>
      <c r="Q85" s="341"/>
      <c r="R85" s="341"/>
      <c r="S85" s="341"/>
      <c r="T85" s="341"/>
      <c r="U85" s="341"/>
    </row>
    <row r="86" spans="1:29">
      <c r="A86" s="445" t="s">
        <v>502</v>
      </c>
      <c r="B86" s="332">
        <f t="shared" ref="B86:O86" si="35">IF(OR(B18="A",B18="B"),ROUND(B128/B15,0),ROUND(B143/B15,0))</f>
        <v>250000</v>
      </c>
      <c r="C86" s="332">
        <f t="shared" si="35"/>
        <v>225000</v>
      </c>
      <c r="D86" s="332">
        <f t="shared" si="35"/>
        <v>350000</v>
      </c>
      <c r="E86" s="332">
        <f t="shared" si="35"/>
        <v>450000</v>
      </c>
      <c r="F86" s="332">
        <f t="shared" si="35"/>
        <v>700000</v>
      </c>
      <c r="G86" s="332">
        <f t="shared" si="35"/>
        <v>0</v>
      </c>
      <c r="H86" s="332">
        <f t="shared" si="35"/>
        <v>5453175</v>
      </c>
      <c r="I86" s="332">
        <f t="shared" si="35"/>
        <v>4292925</v>
      </c>
      <c r="J86" s="332">
        <f t="shared" si="35"/>
        <v>2500000</v>
      </c>
      <c r="K86" s="332">
        <f t="shared" si="35"/>
        <v>400000</v>
      </c>
      <c r="L86" s="332">
        <f t="shared" si="35"/>
        <v>4500000</v>
      </c>
      <c r="M86" s="332">
        <f t="shared" si="35"/>
        <v>250000</v>
      </c>
      <c r="N86" s="332">
        <f t="shared" si="35"/>
        <v>325000</v>
      </c>
      <c r="O86" s="400">
        <f t="shared" si="35"/>
        <v>0</v>
      </c>
      <c r="P86" s="346">
        <f>SUM(B86:O86)</f>
        <v>19696100</v>
      </c>
      <c r="Q86" s="341"/>
      <c r="R86" s="341"/>
      <c r="S86" s="341"/>
      <c r="T86" s="341"/>
      <c r="U86" s="341"/>
    </row>
    <row r="87" spans="1:29">
      <c r="A87" s="445" t="s">
        <v>628</v>
      </c>
      <c r="B87" s="332">
        <f t="shared" ref="B87:O87" si="36">IF(OR(B18="A",B18="B"),ROUND(SUM(B130:B132,B134:B137)/B15,0),ROUND(SUM(B130:B132,B134:B137)*$B$4/B15,0))</f>
        <v>515000</v>
      </c>
      <c r="C87" s="332">
        <f t="shared" si="36"/>
        <v>544000</v>
      </c>
      <c r="D87" s="332">
        <f t="shared" si="36"/>
        <v>581500</v>
      </c>
      <c r="E87" s="332">
        <f t="shared" si="36"/>
        <v>240000</v>
      </c>
      <c r="F87" s="332">
        <f t="shared" si="36"/>
        <v>240000</v>
      </c>
      <c r="G87" s="332">
        <f t="shared" si="36"/>
        <v>0</v>
      </c>
      <c r="H87" s="332">
        <f t="shared" si="36"/>
        <v>2146463</v>
      </c>
      <c r="I87" s="332">
        <f t="shared" si="36"/>
        <v>388684</v>
      </c>
      <c r="J87" s="332">
        <f t="shared" si="36"/>
        <v>750000</v>
      </c>
      <c r="K87" s="332">
        <f t="shared" si="36"/>
        <v>156500</v>
      </c>
      <c r="L87" s="332">
        <f t="shared" si="36"/>
        <v>0</v>
      </c>
      <c r="M87" s="332">
        <f t="shared" si="36"/>
        <v>125000</v>
      </c>
      <c r="N87" s="332">
        <f t="shared" si="36"/>
        <v>125000</v>
      </c>
      <c r="O87" s="400">
        <f t="shared" si="36"/>
        <v>0</v>
      </c>
      <c r="P87" s="346">
        <f>SUM(B87:O87)</f>
        <v>5812147</v>
      </c>
      <c r="Q87" s="347"/>
      <c r="R87" s="347"/>
      <c r="S87" s="347"/>
      <c r="T87" s="347"/>
      <c r="U87" s="347"/>
    </row>
    <row r="88" spans="1:29">
      <c r="A88" s="445" t="s">
        <v>503</v>
      </c>
      <c r="B88" s="671">
        <f t="shared" ref="B88:O88" si="37">ROUND(B14/B15,7)</f>
        <v>1</v>
      </c>
      <c r="C88" s="671">
        <f t="shared" si="37"/>
        <v>1</v>
      </c>
      <c r="D88" s="671">
        <f t="shared" si="37"/>
        <v>1</v>
      </c>
      <c r="E88" s="671">
        <f t="shared" si="37"/>
        <v>1</v>
      </c>
      <c r="F88" s="671">
        <f t="shared" si="37"/>
        <v>1</v>
      </c>
      <c r="G88" s="671">
        <f t="shared" si="37"/>
        <v>1</v>
      </c>
      <c r="H88" s="671">
        <f t="shared" si="37"/>
        <v>1</v>
      </c>
      <c r="I88" s="671">
        <f t="shared" si="37"/>
        <v>1</v>
      </c>
      <c r="J88" s="671">
        <f t="shared" si="37"/>
        <v>1</v>
      </c>
      <c r="K88" s="671">
        <f t="shared" si="37"/>
        <v>1</v>
      </c>
      <c r="L88" s="671">
        <f t="shared" si="37"/>
        <v>1</v>
      </c>
      <c r="M88" s="671">
        <f t="shared" si="37"/>
        <v>1</v>
      </c>
      <c r="N88" s="671">
        <f t="shared" si="37"/>
        <v>1</v>
      </c>
      <c r="O88" s="673">
        <f t="shared" si="37"/>
        <v>1</v>
      </c>
      <c r="P88" s="346"/>
      <c r="Q88" s="347"/>
      <c r="R88" s="347"/>
      <c r="S88" s="347"/>
      <c r="T88" s="347"/>
      <c r="U88" s="347"/>
    </row>
    <row r="89" spans="1:29">
      <c r="A89" s="445" t="s">
        <v>504</v>
      </c>
      <c r="B89" s="671">
        <f t="shared" ref="B89:O89" si="38">ROUND((B14-B138)/261,7)</f>
        <v>7.6628399999999999E-2</v>
      </c>
      <c r="C89" s="671">
        <f t="shared" si="38"/>
        <v>7.6628399999999999E-2</v>
      </c>
      <c r="D89" s="671">
        <f t="shared" si="38"/>
        <v>7.6628399999999999E-2</v>
      </c>
      <c r="E89" s="671">
        <f t="shared" si="38"/>
        <v>7.6628399999999999E-2</v>
      </c>
      <c r="F89" s="671">
        <f t="shared" si="38"/>
        <v>7.6628399999999999E-2</v>
      </c>
      <c r="G89" s="671">
        <f t="shared" si="38"/>
        <v>7.6628399999999999E-2</v>
      </c>
      <c r="H89" s="671">
        <f t="shared" si="38"/>
        <v>7.6628399999999999E-2</v>
      </c>
      <c r="I89" s="671">
        <f t="shared" si="38"/>
        <v>7.6628399999999999E-2</v>
      </c>
      <c r="J89" s="671">
        <f t="shared" si="38"/>
        <v>7.6628399999999999E-2</v>
      </c>
      <c r="K89" s="671">
        <f t="shared" si="38"/>
        <v>7.6628399999999999E-2</v>
      </c>
      <c r="L89" s="671">
        <f t="shared" si="38"/>
        <v>7.6628399999999999E-2</v>
      </c>
      <c r="M89" s="671">
        <f t="shared" si="38"/>
        <v>7.6628399999999999E-2</v>
      </c>
      <c r="N89" s="671">
        <f t="shared" si="38"/>
        <v>7.6628399999999999E-2</v>
      </c>
      <c r="O89" s="673">
        <f t="shared" si="38"/>
        <v>7.6628399999999999E-2</v>
      </c>
      <c r="P89" s="346"/>
      <c r="Q89" s="347"/>
      <c r="R89" s="347"/>
      <c r="S89" s="347"/>
      <c r="T89" s="347"/>
      <c r="U89" s="347"/>
    </row>
    <row r="90" spans="1:29">
      <c r="A90" s="445" t="s">
        <v>505</v>
      </c>
      <c r="B90" s="671">
        <f t="shared" ref="B90:O90" si="39">ROUND(B140/B15,7)</f>
        <v>0</v>
      </c>
      <c r="C90" s="671">
        <f t="shared" si="39"/>
        <v>0</v>
      </c>
      <c r="D90" s="671">
        <f t="shared" si="39"/>
        <v>0</v>
      </c>
      <c r="E90" s="671">
        <f t="shared" si="39"/>
        <v>0</v>
      </c>
      <c r="F90" s="671">
        <f t="shared" si="39"/>
        <v>0</v>
      </c>
      <c r="G90" s="671">
        <f t="shared" si="39"/>
        <v>0</v>
      </c>
      <c r="H90" s="671">
        <f t="shared" si="39"/>
        <v>0</v>
      </c>
      <c r="I90" s="671">
        <f t="shared" si="39"/>
        <v>0</v>
      </c>
      <c r="J90" s="671">
        <f t="shared" si="39"/>
        <v>0</v>
      </c>
      <c r="K90" s="671">
        <f t="shared" si="39"/>
        <v>0</v>
      </c>
      <c r="L90" s="671">
        <f t="shared" si="39"/>
        <v>0</v>
      </c>
      <c r="M90" s="671">
        <f t="shared" si="39"/>
        <v>0</v>
      </c>
      <c r="N90" s="671">
        <f t="shared" si="39"/>
        <v>0</v>
      </c>
      <c r="O90" s="673">
        <f t="shared" si="39"/>
        <v>0</v>
      </c>
      <c r="P90" s="346"/>
      <c r="Q90" s="347"/>
      <c r="R90" s="347"/>
      <c r="S90" s="347"/>
      <c r="T90" s="347"/>
      <c r="U90" s="347"/>
    </row>
    <row r="91" spans="1:29">
      <c r="A91" s="415" t="s">
        <v>494</v>
      </c>
      <c r="B91" s="331">
        <f>ROUND(AA23*B16/365,0)</f>
        <v>613699</v>
      </c>
      <c r="C91" s="332">
        <f>ROUND(AA24*C16/365,0)</f>
        <v>613699</v>
      </c>
      <c r="E91" s="332">
        <f>ROUND(AA25*E16/365,0)</f>
        <v>613699</v>
      </c>
      <c r="F91" s="332">
        <f>ROUND(AA26*F16/365,0)</f>
        <v>613699</v>
      </c>
      <c r="G91" s="332"/>
      <c r="H91" s="332">
        <f>ROUND(AA27*G16/365,0)</f>
        <v>613699</v>
      </c>
      <c r="I91" s="332"/>
      <c r="J91" s="332"/>
      <c r="K91" s="340"/>
      <c r="L91" s="340"/>
      <c r="M91" s="340"/>
      <c r="N91" s="340"/>
      <c r="O91" s="401"/>
      <c r="P91" s="346">
        <f>SUM(B91:O91)</f>
        <v>3068495</v>
      </c>
      <c r="Q91" s="347"/>
      <c r="R91" s="347"/>
      <c r="S91" s="347"/>
      <c r="T91" s="347"/>
      <c r="U91" s="347"/>
    </row>
    <row r="92" spans="1:29">
      <c r="A92" s="412" t="s">
        <v>536</v>
      </c>
      <c r="B92" s="331"/>
      <c r="C92" s="332"/>
      <c r="E92" s="332"/>
      <c r="F92" s="332"/>
      <c r="G92" s="332"/>
      <c r="H92" s="332">
        <f>ROUND(AA28*G16/365,0)</f>
        <v>536986</v>
      </c>
      <c r="I92" s="332"/>
      <c r="J92" s="332"/>
      <c r="K92" s="332"/>
      <c r="L92" s="332"/>
      <c r="M92" s="332"/>
      <c r="N92" s="332"/>
      <c r="O92" s="400"/>
      <c r="P92" s="346">
        <f>SUM(B92:O92)</f>
        <v>536986</v>
      </c>
      <c r="Q92" s="379"/>
      <c r="R92" s="379"/>
      <c r="S92" s="379"/>
      <c r="T92" s="379"/>
      <c r="U92" s="379"/>
    </row>
    <row r="93" spans="1:29">
      <c r="A93" s="412" t="s">
        <v>613</v>
      </c>
      <c r="B93" s="332">
        <f t="shared" ref="B93:O93" si="40">B141*$B$4</f>
        <v>0</v>
      </c>
      <c r="C93" s="332">
        <f t="shared" si="40"/>
        <v>0</v>
      </c>
      <c r="D93" s="332">
        <f t="shared" si="40"/>
        <v>0</v>
      </c>
      <c r="E93" s="332">
        <f t="shared" si="40"/>
        <v>0</v>
      </c>
      <c r="F93" s="332">
        <f t="shared" si="40"/>
        <v>0</v>
      </c>
      <c r="G93" s="332">
        <f t="shared" si="40"/>
        <v>0</v>
      </c>
      <c r="H93" s="332">
        <f t="shared" si="40"/>
        <v>2320500</v>
      </c>
      <c r="I93" s="332">
        <f t="shared" si="40"/>
        <v>2320500</v>
      </c>
      <c r="J93" s="332">
        <f t="shared" si="40"/>
        <v>0</v>
      </c>
      <c r="K93" s="332">
        <f t="shared" si="40"/>
        <v>0</v>
      </c>
      <c r="L93" s="332">
        <f t="shared" si="40"/>
        <v>0</v>
      </c>
      <c r="M93" s="332">
        <f t="shared" si="40"/>
        <v>0</v>
      </c>
      <c r="N93" s="332">
        <f t="shared" si="40"/>
        <v>0</v>
      </c>
      <c r="O93" s="400">
        <f t="shared" si="40"/>
        <v>0</v>
      </c>
      <c r="P93" s="355">
        <f>SUM(D93:O93)</f>
        <v>4641000</v>
      </c>
      <c r="Q93" s="379"/>
      <c r="R93" s="379"/>
      <c r="S93" s="379"/>
      <c r="T93" s="379"/>
      <c r="U93" s="379"/>
    </row>
    <row r="94" spans="1:29">
      <c r="A94" s="412" t="s">
        <v>614</v>
      </c>
      <c r="B94" s="332">
        <f t="shared" ref="B94:O94" si="41">B142*$B$4</f>
        <v>0</v>
      </c>
      <c r="C94" s="332">
        <f t="shared" si="41"/>
        <v>0</v>
      </c>
      <c r="D94" s="332">
        <f t="shared" si="41"/>
        <v>0</v>
      </c>
      <c r="E94" s="332">
        <f t="shared" si="41"/>
        <v>0</v>
      </c>
      <c r="F94" s="332">
        <f t="shared" si="41"/>
        <v>0</v>
      </c>
      <c r="G94" s="332">
        <f t="shared" si="41"/>
        <v>0</v>
      </c>
      <c r="H94" s="332">
        <f t="shared" si="41"/>
        <v>4641000</v>
      </c>
      <c r="I94" s="332">
        <f t="shared" si="41"/>
        <v>4641000</v>
      </c>
      <c r="J94" s="332">
        <f t="shared" si="41"/>
        <v>0</v>
      </c>
      <c r="K94" s="332">
        <f t="shared" si="41"/>
        <v>0</v>
      </c>
      <c r="L94" s="332">
        <f t="shared" si="41"/>
        <v>0</v>
      </c>
      <c r="M94" s="332">
        <f t="shared" si="41"/>
        <v>0</v>
      </c>
      <c r="N94" s="332">
        <f t="shared" si="41"/>
        <v>0</v>
      </c>
      <c r="O94" s="400">
        <f t="shared" si="41"/>
        <v>0</v>
      </c>
      <c r="P94" s="355">
        <f>SUM(D94:O94)</f>
        <v>9282000</v>
      </c>
      <c r="Q94" s="347"/>
      <c r="R94" s="347"/>
      <c r="S94" s="347"/>
      <c r="T94" s="347"/>
      <c r="U94" s="347"/>
    </row>
    <row r="95" spans="1:29">
      <c r="A95" s="412"/>
      <c r="B95" s="331"/>
      <c r="C95" s="332"/>
      <c r="D95" s="332"/>
      <c r="E95" s="340"/>
      <c r="F95" s="332"/>
      <c r="G95" s="332"/>
      <c r="H95" s="332"/>
      <c r="I95" s="332"/>
      <c r="J95" s="332"/>
      <c r="K95" s="340"/>
      <c r="L95" s="340"/>
      <c r="M95" s="340"/>
      <c r="N95" s="340"/>
      <c r="O95" s="401"/>
      <c r="P95" s="346"/>
      <c r="Q95" s="347"/>
      <c r="R95" s="347"/>
      <c r="S95" s="347"/>
      <c r="T95" s="347"/>
      <c r="U95" s="347"/>
    </row>
    <row r="96" spans="1:29">
      <c r="A96" s="445" t="s">
        <v>579</v>
      </c>
      <c r="B96" s="332">
        <f>SUM(B24:B39)</f>
        <v>16800000</v>
      </c>
      <c r="C96" s="332">
        <f t="shared" ref="C96:O96" si="42">SUM(C24:C39)</f>
        <v>16880000</v>
      </c>
      <c r="D96" s="332">
        <f t="shared" si="42"/>
        <v>18630000</v>
      </c>
      <c r="E96" s="332">
        <f t="shared" si="42"/>
        <v>13800000</v>
      </c>
      <c r="F96" s="332">
        <f t="shared" si="42"/>
        <v>18800000</v>
      </c>
      <c r="G96" s="332">
        <f t="shared" si="42"/>
        <v>11602500</v>
      </c>
      <c r="H96" s="332">
        <f t="shared" si="42"/>
        <v>154313250</v>
      </c>
      <c r="I96" s="332">
        <f t="shared" si="42"/>
        <v>97112925</v>
      </c>
      <c r="J96" s="332">
        <f t="shared" si="42"/>
        <v>73478262</v>
      </c>
      <c r="K96" s="332">
        <f t="shared" si="42"/>
        <v>15130000</v>
      </c>
      <c r="L96" s="332">
        <f t="shared" si="42"/>
        <v>90000000</v>
      </c>
      <c r="M96" s="332">
        <f t="shared" si="42"/>
        <v>7500000</v>
      </c>
      <c r="N96" s="332">
        <f t="shared" si="42"/>
        <v>9000000</v>
      </c>
      <c r="O96" s="332">
        <f t="shared" si="42"/>
        <v>2000000</v>
      </c>
      <c r="P96" s="345">
        <f t="shared" ref="P96:P105" si="43">SUM(B96:O96)</f>
        <v>545046937</v>
      </c>
      <c r="Q96" s="348"/>
      <c r="R96" s="348"/>
      <c r="S96" s="348"/>
      <c r="T96" s="348"/>
      <c r="U96" s="348"/>
    </row>
    <row r="97" spans="1:21">
      <c r="A97" s="412" t="s">
        <v>486</v>
      </c>
      <c r="B97" s="331">
        <f t="shared" ref="B97:O97" si="44">SUM(B24:B34,B42:B43)</f>
        <v>15181793</v>
      </c>
      <c r="C97" s="332">
        <f t="shared" si="44"/>
        <v>14531793</v>
      </c>
      <c r="D97" s="332">
        <f t="shared" si="44"/>
        <v>16100000</v>
      </c>
      <c r="E97" s="332">
        <f t="shared" si="44"/>
        <v>12272689</v>
      </c>
      <c r="F97" s="332">
        <f t="shared" si="44"/>
        <v>17000000</v>
      </c>
      <c r="G97" s="332">
        <f t="shared" si="44"/>
        <v>11602500</v>
      </c>
      <c r="H97" s="332">
        <f t="shared" si="44"/>
        <v>168879490</v>
      </c>
      <c r="I97" s="332">
        <f t="shared" si="44"/>
        <v>107555175</v>
      </c>
      <c r="J97" s="332">
        <f t="shared" si="44"/>
        <v>73478262</v>
      </c>
      <c r="K97" s="332">
        <f t="shared" si="44"/>
        <v>10400000</v>
      </c>
      <c r="L97" s="332">
        <f t="shared" si="44"/>
        <v>90000000</v>
      </c>
      <c r="M97" s="332">
        <f t="shared" si="44"/>
        <v>7500000</v>
      </c>
      <c r="N97" s="332">
        <f t="shared" si="44"/>
        <v>9000000</v>
      </c>
      <c r="O97" s="400">
        <f t="shared" si="44"/>
        <v>2000000</v>
      </c>
      <c r="P97" s="346">
        <f t="shared" si="43"/>
        <v>555501702</v>
      </c>
      <c r="Q97" s="347"/>
      <c r="R97" s="347"/>
      <c r="S97" s="347"/>
      <c r="T97" s="347"/>
      <c r="U97" s="347"/>
    </row>
    <row r="98" spans="1:21">
      <c r="A98" s="412" t="s">
        <v>581</v>
      </c>
      <c r="B98" s="332">
        <f t="shared" ref="B98:O98" si="45">MIN(IF(OR(B18="A",B18="B"),SUM(B128,B130,B131,B133,B134),B144),27800000)</f>
        <v>10000000</v>
      </c>
      <c r="C98" s="332">
        <f t="shared" si="45"/>
        <v>9350000</v>
      </c>
      <c r="D98" s="332">
        <f t="shared" si="45"/>
        <v>11100000</v>
      </c>
      <c r="E98" s="332">
        <f t="shared" si="45"/>
        <v>9000000</v>
      </c>
      <c r="F98" s="332">
        <f t="shared" si="45"/>
        <v>14000000</v>
      </c>
      <c r="G98" s="332">
        <f t="shared" si="45"/>
        <v>0</v>
      </c>
      <c r="H98" s="360">
        <f t="shared" si="45"/>
        <v>27800000</v>
      </c>
      <c r="I98" s="360">
        <f t="shared" si="45"/>
        <v>27800000</v>
      </c>
      <c r="J98" s="360">
        <f t="shared" si="45"/>
        <v>27800000</v>
      </c>
      <c r="K98" s="332">
        <f t="shared" si="45"/>
        <v>10400000</v>
      </c>
      <c r="L98" s="332">
        <f t="shared" si="45"/>
        <v>27800000</v>
      </c>
      <c r="M98" s="332">
        <f t="shared" si="45"/>
        <v>7500000</v>
      </c>
      <c r="N98" s="332">
        <f t="shared" si="45"/>
        <v>9000000</v>
      </c>
      <c r="O98" s="400">
        <f t="shared" si="45"/>
        <v>0</v>
      </c>
      <c r="P98" s="346">
        <f t="shared" si="43"/>
        <v>191550000</v>
      </c>
      <c r="Q98" s="347"/>
      <c r="R98" s="347"/>
      <c r="S98" s="347"/>
      <c r="T98" s="347"/>
      <c r="U98" s="347"/>
    </row>
    <row r="99" spans="1:21">
      <c r="A99" s="506" t="s">
        <v>1292</v>
      </c>
      <c r="B99" s="438"/>
      <c r="C99" s="438"/>
      <c r="D99" s="438"/>
      <c r="E99" s="438"/>
      <c r="F99" s="438"/>
      <c r="G99" s="438"/>
      <c r="H99" s="438"/>
      <c r="I99" s="438"/>
      <c r="J99" s="438">
        <f>'UAT1-Jan'!J94</f>
        <v>27800000</v>
      </c>
      <c r="K99" s="438"/>
      <c r="L99" s="438"/>
      <c r="M99" s="438"/>
      <c r="N99" s="438"/>
      <c r="O99" s="511"/>
      <c r="P99" s="504">
        <f t="shared" si="43"/>
        <v>27800000</v>
      </c>
      <c r="Q99" s="347"/>
      <c r="R99" s="347"/>
      <c r="S99" s="347"/>
      <c r="T99" s="347"/>
      <c r="U99" s="347"/>
    </row>
    <row r="100" spans="1:21">
      <c r="A100" s="412" t="s">
        <v>1271</v>
      </c>
      <c r="B100" s="332">
        <f t="shared" ref="B100:O100" si="46">IF(B14&gt;B15/2,IF(OR(B18="A",B18="B"),SUM(B128,B130,B131,B133,B134),B145),0)</f>
        <v>10000000</v>
      </c>
      <c r="C100" s="332">
        <f t="shared" si="46"/>
        <v>9350000</v>
      </c>
      <c r="D100" s="332">
        <f t="shared" si="46"/>
        <v>11100000</v>
      </c>
      <c r="E100" s="332">
        <f t="shared" si="46"/>
        <v>9000000</v>
      </c>
      <c r="F100" s="332">
        <f t="shared" si="46"/>
        <v>14000000</v>
      </c>
      <c r="G100" s="332">
        <f t="shared" si="46"/>
        <v>0</v>
      </c>
      <c r="H100" s="332">
        <f t="shared" si="46"/>
        <v>156275000</v>
      </c>
      <c r="I100" s="332">
        <f t="shared" si="46"/>
        <v>94822500</v>
      </c>
      <c r="J100" s="332">
        <f t="shared" si="46"/>
        <v>65000000</v>
      </c>
      <c r="K100" s="332">
        <f t="shared" si="46"/>
        <v>10400000</v>
      </c>
      <c r="L100" s="332">
        <f t="shared" si="46"/>
        <v>90000000</v>
      </c>
      <c r="M100" s="332">
        <f t="shared" si="46"/>
        <v>7500000</v>
      </c>
      <c r="N100" s="332">
        <f t="shared" si="46"/>
        <v>9000000</v>
      </c>
      <c r="O100" s="400">
        <f t="shared" si="46"/>
        <v>0</v>
      </c>
      <c r="P100" s="346">
        <f t="shared" si="43"/>
        <v>486447500</v>
      </c>
      <c r="Q100" s="347"/>
      <c r="R100" s="347"/>
      <c r="S100" s="347"/>
      <c r="T100" s="347"/>
      <c r="U100" s="347"/>
    </row>
    <row r="101" spans="1:21">
      <c r="A101" s="506" t="s">
        <v>1293</v>
      </c>
      <c r="B101" s="438"/>
      <c r="C101" s="438"/>
      <c r="D101" s="438"/>
      <c r="E101" s="438"/>
      <c r="F101" s="438"/>
      <c r="G101" s="438"/>
      <c r="H101" s="438"/>
      <c r="I101" s="438"/>
      <c r="J101" s="438">
        <f>'UAT1-Jan'!J95</f>
        <v>65000000</v>
      </c>
      <c r="K101" s="438"/>
      <c r="L101" s="438"/>
      <c r="M101" s="438"/>
      <c r="N101" s="438"/>
      <c r="O101" s="511"/>
      <c r="P101" s="504">
        <f t="shared" si="43"/>
        <v>65000000</v>
      </c>
      <c r="Q101" s="347"/>
      <c r="R101" s="347"/>
      <c r="S101" s="347"/>
      <c r="T101" s="347"/>
      <c r="U101" s="347"/>
    </row>
    <row r="102" spans="1:21">
      <c r="A102" s="412" t="s">
        <v>586</v>
      </c>
      <c r="B102" s="332">
        <f t="shared" ref="B102:O102" si="47">IF(OR(B18="A",B18="B"),SUM(B143,B130,B131,B135,B136,B134),SUM(B143,B130*$B$4,B131*$B$4,B134*$B$4,))</f>
        <v>10300000</v>
      </c>
      <c r="C102" s="332">
        <f t="shared" si="47"/>
        <v>10380000</v>
      </c>
      <c r="D102" s="332">
        <f t="shared" si="47"/>
        <v>13630000</v>
      </c>
      <c r="E102" s="332">
        <f t="shared" si="47"/>
        <v>10800000</v>
      </c>
      <c r="F102" s="332">
        <f t="shared" si="47"/>
        <v>15800000</v>
      </c>
      <c r="G102" s="332">
        <f t="shared" si="47"/>
        <v>0</v>
      </c>
      <c r="H102" s="332">
        <f t="shared" si="47"/>
        <v>151992750</v>
      </c>
      <c r="I102" s="332">
        <f t="shared" si="47"/>
        <v>93632175</v>
      </c>
      <c r="J102" s="332">
        <f t="shared" si="47"/>
        <v>65000000</v>
      </c>
      <c r="K102" s="332">
        <f t="shared" si="47"/>
        <v>11130000</v>
      </c>
      <c r="L102" s="332">
        <f t="shared" si="47"/>
        <v>90000000</v>
      </c>
      <c r="M102" s="332">
        <f t="shared" si="47"/>
        <v>7500000</v>
      </c>
      <c r="N102" s="332">
        <f t="shared" si="47"/>
        <v>9000000</v>
      </c>
      <c r="O102" s="400">
        <f t="shared" si="47"/>
        <v>0</v>
      </c>
      <c r="P102" s="346">
        <f t="shared" si="43"/>
        <v>489164925</v>
      </c>
      <c r="Q102" s="347"/>
      <c r="R102" s="347"/>
      <c r="S102" s="347"/>
      <c r="T102" s="347"/>
      <c r="U102" s="347"/>
    </row>
    <row r="103" spans="1:21">
      <c r="A103" s="506" t="s">
        <v>865</v>
      </c>
      <c r="B103" s="438"/>
      <c r="C103" s="438"/>
      <c r="D103" s="438"/>
      <c r="E103" s="438"/>
      <c r="F103" s="438"/>
      <c r="G103" s="438"/>
      <c r="H103" s="438"/>
      <c r="I103" s="438"/>
      <c r="J103" s="438">
        <f>'UAT1-Jan'!J96</f>
        <v>65000000</v>
      </c>
      <c r="K103" s="438"/>
      <c r="L103" s="438"/>
      <c r="M103" s="438"/>
      <c r="N103" s="438"/>
      <c r="O103" s="511"/>
      <c r="P103" s="504">
        <f t="shared" si="43"/>
        <v>65000000</v>
      </c>
      <c r="Q103" s="347"/>
      <c r="R103" s="347"/>
      <c r="S103" s="347"/>
      <c r="T103" s="347"/>
      <c r="U103" s="347"/>
    </row>
    <row r="104" spans="1:21">
      <c r="A104" s="412" t="s">
        <v>483</v>
      </c>
      <c r="B104" s="332">
        <f>'UAT1-Jan'!B71/1</f>
        <v>10300000</v>
      </c>
      <c r="C104" s="332">
        <f>'UAT1-Jan'!C71/1</f>
        <v>10380000</v>
      </c>
      <c r="D104" s="332">
        <f>'UAT1-Jan'!D71/1</f>
        <v>13630000</v>
      </c>
      <c r="E104" s="332">
        <f>'UAT1-Jan'!E71/1</f>
        <v>10800000</v>
      </c>
      <c r="F104" s="332">
        <f>'UAT1-Jan'!F71/1</f>
        <v>15800000</v>
      </c>
      <c r="G104" s="332">
        <f>'UAT1-Jan'!G71/1</f>
        <v>0</v>
      </c>
      <c r="H104" s="332">
        <f>'UAT1-Jan'!H71/1</f>
        <v>151992750</v>
      </c>
      <c r="I104" s="332">
        <f>'UAT1-Jan'!I71/1</f>
        <v>93632175</v>
      </c>
      <c r="J104" s="332">
        <f>'UAT1-Jan'!J71/1</f>
        <v>65000000</v>
      </c>
      <c r="K104" s="332">
        <f>'UAT1-Jan'!K71/1</f>
        <v>11130000</v>
      </c>
      <c r="L104" s="332">
        <f>'UAT1-Jan'!L71/1</f>
        <v>90000000</v>
      </c>
      <c r="M104" s="332">
        <f>'UAT1-Jan'!M71/1</f>
        <v>7500000</v>
      </c>
      <c r="N104" s="332">
        <f>'UAT1-Jan'!N71/1</f>
        <v>9000000</v>
      </c>
      <c r="O104" s="400">
        <f>'UAT1-Jan'!O71/1</f>
        <v>0</v>
      </c>
      <c r="P104" s="346">
        <f t="shared" si="43"/>
        <v>489164925</v>
      </c>
      <c r="Q104" s="347"/>
      <c r="R104" s="347"/>
      <c r="S104" s="347"/>
      <c r="T104" s="347"/>
      <c r="U104" s="347"/>
    </row>
    <row r="105" spans="1:21">
      <c r="A105" s="506" t="s">
        <v>1295</v>
      </c>
      <c r="B105" s="438"/>
      <c r="C105" s="438"/>
      <c r="D105" s="438"/>
      <c r="E105" s="438"/>
      <c r="F105" s="438"/>
      <c r="G105" s="438"/>
      <c r="H105" s="438"/>
      <c r="I105" s="438"/>
      <c r="J105" s="438">
        <f>'UAT1-Jan'!J97</f>
        <v>27800000</v>
      </c>
      <c r="K105" s="438"/>
      <c r="L105" s="438"/>
      <c r="M105" s="438"/>
      <c r="N105" s="438"/>
      <c r="O105" s="511"/>
      <c r="P105" s="504">
        <f t="shared" si="43"/>
        <v>27800000</v>
      </c>
      <c r="Q105" s="347"/>
      <c r="R105" s="347"/>
      <c r="S105" s="347"/>
      <c r="T105" s="347"/>
      <c r="U105" s="347"/>
    </row>
    <row r="106" spans="1:21">
      <c r="A106" s="412" t="s">
        <v>607</v>
      </c>
      <c r="B106" s="332">
        <f t="shared" ref="B106:O106" si="48">SUM(B49:B51)</f>
        <v>1050000</v>
      </c>
      <c r="C106" s="332">
        <f t="shared" si="48"/>
        <v>981750</v>
      </c>
      <c r="D106" s="332">
        <f t="shared" si="48"/>
        <v>277500</v>
      </c>
      <c r="E106" s="332">
        <f t="shared" si="48"/>
        <v>945000</v>
      </c>
      <c r="F106" s="332">
        <f t="shared" si="48"/>
        <v>0</v>
      </c>
      <c r="G106" s="332">
        <f t="shared" si="48"/>
        <v>0</v>
      </c>
      <c r="H106" s="332">
        <f t="shared" si="48"/>
        <v>417000</v>
      </c>
      <c r="I106" s="332">
        <f t="shared" si="48"/>
        <v>417000</v>
      </c>
      <c r="J106" s="332">
        <f t="shared" si="48"/>
        <v>3291000</v>
      </c>
      <c r="K106" s="332">
        <f t="shared" si="48"/>
        <v>0</v>
      </c>
      <c r="L106" s="332">
        <f t="shared" si="48"/>
        <v>3477000</v>
      </c>
      <c r="M106" s="332">
        <f t="shared" si="48"/>
        <v>0</v>
      </c>
      <c r="N106" s="332">
        <f t="shared" si="48"/>
        <v>0</v>
      </c>
      <c r="O106" s="400">
        <f t="shared" si="48"/>
        <v>0</v>
      </c>
      <c r="P106" s="346">
        <f t="shared" ref="P106:P112" si="49">SUM(B106:O106)</f>
        <v>10856250</v>
      </c>
      <c r="Q106" s="347"/>
      <c r="R106" s="347"/>
      <c r="S106" s="347"/>
      <c r="T106" s="347"/>
      <c r="U106" s="347"/>
    </row>
    <row r="107" spans="1:21">
      <c r="A107" s="445" t="s">
        <v>580</v>
      </c>
      <c r="B107" s="332">
        <f t="shared" ref="B107:O107" si="50">B97-B106</f>
        <v>14131793</v>
      </c>
      <c r="C107" s="332">
        <f t="shared" si="50"/>
        <v>13550043</v>
      </c>
      <c r="D107" s="332">
        <f t="shared" si="50"/>
        <v>15822500</v>
      </c>
      <c r="E107" s="332">
        <f t="shared" si="50"/>
        <v>11327689</v>
      </c>
      <c r="F107" s="332">
        <f t="shared" si="50"/>
        <v>17000000</v>
      </c>
      <c r="G107" s="332">
        <f t="shared" si="50"/>
        <v>11602500</v>
      </c>
      <c r="H107" s="332">
        <f t="shared" si="50"/>
        <v>168462490</v>
      </c>
      <c r="I107" s="332">
        <f t="shared" si="50"/>
        <v>107138175</v>
      </c>
      <c r="J107" s="332">
        <f t="shared" si="50"/>
        <v>70187262</v>
      </c>
      <c r="K107" s="332">
        <f t="shared" si="50"/>
        <v>10400000</v>
      </c>
      <c r="L107" s="332">
        <f t="shared" si="50"/>
        <v>86523000</v>
      </c>
      <c r="M107" s="332">
        <f t="shared" si="50"/>
        <v>7500000</v>
      </c>
      <c r="N107" s="332">
        <f t="shared" si="50"/>
        <v>9000000</v>
      </c>
      <c r="O107" s="400">
        <f t="shared" si="50"/>
        <v>2000000</v>
      </c>
      <c r="P107" s="346">
        <f t="shared" si="49"/>
        <v>544645452</v>
      </c>
      <c r="Q107" s="347"/>
      <c r="R107" s="347"/>
      <c r="S107" s="347"/>
      <c r="T107" s="347"/>
      <c r="U107" s="347"/>
    </row>
    <row r="108" spans="1:21">
      <c r="A108" s="445" t="s">
        <v>903</v>
      </c>
      <c r="B108" s="332">
        <f t="shared" ref="B108:O108" si="51">IF(OR(B18="A",B18="C"),MAX(B107-B21-B20*B19,0),B107)</f>
        <v>1531793</v>
      </c>
      <c r="C108" s="332">
        <f t="shared" si="51"/>
        <v>0</v>
      </c>
      <c r="D108" s="332">
        <f t="shared" si="51"/>
        <v>3222500</v>
      </c>
      <c r="E108" s="332">
        <f t="shared" si="51"/>
        <v>11327689</v>
      </c>
      <c r="F108" s="332">
        <f t="shared" si="51"/>
        <v>17000000</v>
      </c>
      <c r="G108" s="332">
        <f t="shared" si="51"/>
        <v>2602500</v>
      </c>
      <c r="H108" s="332">
        <f t="shared" si="51"/>
        <v>168462490</v>
      </c>
      <c r="I108" s="332">
        <f t="shared" si="51"/>
        <v>107138175</v>
      </c>
      <c r="J108" s="332">
        <f t="shared" si="51"/>
        <v>61187262</v>
      </c>
      <c r="K108" s="332">
        <f t="shared" si="51"/>
        <v>1400000</v>
      </c>
      <c r="L108" s="332">
        <f t="shared" si="51"/>
        <v>77523000</v>
      </c>
      <c r="M108" s="332">
        <f t="shared" si="51"/>
        <v>0</v>
      </c>
      <c r="N108" s="332">
        <f t="shared" si="51"/>
        <v>0</v>
      </c>
      <c r="O108" s="400">
        <f t="shared" si="51"/>
        <v>2000000</v>
      </c>
      <c r="P108" s="346">
        <f t="shared" si="49"/>
        <v>453395409</v>
      </c>
      <c r="Q108" s="347"/>
      <c r="R108" s="347"/>
      <c r="S108" s="347"/>
      <c r="T108" s="347"/>
      <c r="U108" s="347"/>
    </row>
    <row r="109" spans="1:21">
      <c r="A109" s="412" t="s">
        <v>487</v>
      </c>
      <c r="B109" s="332">
        <f>IF(OR(B18="A",B18="C"),ROUND(MAX(B108*{5;10;15;20;25;30;35}%-{0;0.25;0.75;1.65;3.25;5.85;9.85}*1000000,0),0),IF(B18="B",IF(B97&lt;2000000,0,ROUND(B97*10%,0)),ROUND(B97*20%,0)))</f>
        <v>76590</v>
      </c>
      <c r="C109" s="332">
        <f>IF(OR(C18="A",C18="C"),ROUND(MAX(C108*{5;10;15;20;25;30;35}%-{0;0.25;0.75;1.65;3.25;5.85;9.85}*1000000,0),0),IF(C18="B",IF(C97&lt;2000000,0,ROUND(C97*10%,0)),ROUND(C97*20%,0)))</f>
        <v>0</v>
      </c>
      <c r="D109" s="332">
        <f>IF(OR(D18="A",D18="C"),ROUND(MAX(D108*{5;10;15;20;25;30;35}%-{0;0.25;0.75;1.65;3.25;5.85;9.85}*1000000,0),0),IF(D18="B",IF(D97&lt;2000000,0,ROUND(D97*10%,0)),ROUND(D97*20%,0)))</f>
        <v>161125</v>
      </c>
      <c r="E109" s="332">
        <f>IF(OR(E18="A",E18="C"),ROUND(MAX(E108*{5;10;15;20;25;30;35}%-{0;0.25;0.75;1.65;3.25;5.85;9.85}*1000000,0),0),IF(E18="B",IF(E97&lt;2000000,0,ROUND(E97*10%,0)),ROUND(E97*20%,0)))</f>
        <v>1227269</v>
      </c>
      <c r="F109" s="332">
        <f>IF(OR(F18="A",F18="C"),ROUND(MAX(F108*{5;10;15;20;25;30;35}%-{0;0.25;0.75;1.65;3.25;5.85;9.85}*1000000,0),0),IF(F18="B",IF(F97&lt;2000000,0,ROUND(F97*10%,0)),ROUND(F97*20%,0)))</f>
        <v>1700000</v>
      </c>
      <c r="G109" s="332">
        <f>IF(OR(G18="A",G18="C"),ROUND(MAX(G108*{5;10;15;20;25;30;35}%-{0;0.25;0.75;1.65;3.25;5.85;9.85}*1000000,0),0),IF(G18="B",IF(G97&lt;2000000,0,ROUND(G97*10%,0)),ROUND(G97*20%,0)))</f>
        <v>130125</v>
      </c>
      <c r="H109" s="332">
        <f>IF(OR(H18="A",H18="C"),ROUND(MAX(H108*{5;10;15;20;25;30;35}%-{0;0.25;0.75;1.65;3.25;5.85;9.85}*1000000,0),0),IF(H18="B",IF(H97&lt;2000000,0,ROUND(H97*10%,0)),ROUND(H97*20%,0)))</f>
        <v>33775898</v>
      </c>
      <c r="I109" s="332">
        <f>IF(OR(I18="A",I18="C"),ROUND(MAX(I108*{5;10;15;20;25;30;35}%-{0;0.25;0.75;1.65;3.25;5.85;9.85}*1000000,0),0),IF(I18="B",IF(I97&lt;2000000,0,ROUND(I97*10%,0)),ROUND(I97*20%,0)))</f>
        <v>21511035</v>
      </c>
      <c r="J109" s="332">
        <f>IF(OR(J18="A",J18="C"),ROUND(MAX(J108*{5;10;15;20;25;30;35}%-{0;0.25;0.75;1.65;3.25;5.85;9.85}*1000000,0),0),IF(J18="B",IF(J97&lt;2000000,0,ROUND(J97*10%,0)),ROUND(J97*20%,0)))</f>
        <v>12506179</v>
      </c>
      <c r="K109" s="332">
        <f>IF(OR(K18="A",K18="C"),ROUND(MAX(K108*{5;10;15;20;25;30;35}%-{0;0.25;0.75;1.65;3.25;5.85;9.85}*1000000,0),0),IF(K18="B",IF(K97&lt;2000000,0,ROUND(K97*10%,0)),ROUND(K97*20%,0)))</f>
        <v>70000</v>
      </c>
      <c r="L109" s="332">
        <f>IF(OR(L18="A",L18="C"),ROUND(MAX(L108*{5;10;15;20;25;30;35}%-{0;0.25;0.75;1.65;3.25;5.85;9.85}*1000000,0),0),IF(L18="B",IF(L97&lt;2000000,0,ROUND(L97*10%,0)),ROUND(L97*20%,0)))</f>
        <v>17406900</v>
      </c>
      <c r="M109" s="332">
        <f>IF(OR(M18="A",M18="C"),ROUND(MAX(M108*{5;10;15;20;25;30;35}%-{0;0.25;0.75;1.65;3.25;5.85;9.85}*1000000,0),0),IF(M18="B",IF(M97&lt;2000000,0,ROUND(M97*10%,0)),ROUND(M97*20%,0)))</f>
        <v>0</v>
      </c>
      <c r="N109" s="332">
        <f>IF(OR(N18="A",N18="C"),ROUND(MAX(N108*{5;10;15;20;25;30;35}%-{0;0.25;0.75;1.65;3.25;5.85;9.85}*1000000,0),0),IF(N18="B",IF(N97&lt;2000000,0,ROUND(N97*10%,0)),ROUND(N97*20%,0)))</f>
        <v>0</v>
      </c>
      <c r="O109" s="400">
        <f>IF(OR(O18="A",O18="C"),ROUND(MAX(O108*{5;10;15;20;25;30;35}%-{0;0.25;0.75;1.65;3.25;5.85;9.85}*1000000,0),0),IF(O18="B",IF(O97&lt;2000000,0,ROUND(O97*10%,0)),ROUND(O97*20%,0)))</f>
        <v>200000</v>
      </c>
      <c r="P109" s="346">
        <f t="shared" si="49"/>
        <v>88765121</v>
      </c>
      <c r="Q109" s="347"/>
      <c r="R109" s="347"/>
      <c r="S109" s="347"/>
      <c r="T109" s="347"/>
      <c r="U109" s="347"/>
    </row>
    <row r="110" spans="1:21">
      <c r="A110" s="445" t="s">
        <v>917</v>
      </c>
      <c r="B110" s="332">
        <f>B107+'UAT1-Jan'!B103</f>
        <v>29333063</v>
      </c>
      <c r="C110" s="332">
        <f>C107+'UAT1-Jan'!C103</f>
        <v>28101313</v>
      </c>
      <c r="D110" s="332">
        <f>D107+'UAT1-Jan'!D103</f>
        <v>28422499</v>
      </c>
      <c r="E110" s="332">
        <f>E107+'UAT1-Jan'!E103</f>
        <v>23629595</v>
      </c>
      <c r="F110" s="332">
        <f>F107+'UAT1-Jan'!F103</f>
        <v>34000000</v>
      </c>
      <c r="G110" s="332">
        <f>G107+'UAT1-Jan'!G103</f>
        <v>34807500</v>
      </c>
      <c r="H110" s="332">
        <f>H107+'UAT1-Jan'!H103</f>
        <v>337659524</v>
      </c>
      <c r="I110" s="332">
        <f>I107+'UAT1-Jan'!I103</f>
        <v>161770815.86210001</v>
      </c>
      <c r="J110" s="332">
        <f>J107+'UAT1-Jan'!J103</f>
        <v>70187262</v>
      </c>
      <c r="K110" s="332">
        <f>K107+'UAT1-Jan'!K103</f>
        <v>20800000</v>
      </c>
      <c r="L110" s="332">
        <f>L107+'UAT1-Jan'!L103</f>
        <v>176523000</v>
      </c>
      <c r="M110" s="332">
        <f>M107+'UAT1-Jan'!M103</f>
        <v>15000000</v>
      </c>
      <c r="N110" s="332">
        <f>N107+'UAT1-Jan'!N103</f>
        <v>18000000</v>
      </c>
      <c r="O110" s="400">
        <f>O107+'UAT1-Jan'!O103</f>
        <v>6000000</v>
      </c>
      <c r="P110" s="346">
        <f t="shared" si="49"/>
        <v>984234571.86210001</v>
      </c>
      <c r="Q110" s="347"/>
      <c r="R110" s="347"/>
      <c r="S110" s="347"/>
      <c r="T110" s="347"/>
      <c r="U110" s="347"/>
    </row>
    <row r="111" spans="1:21">
      <c r="A111" s="445" t="s">
        <v>488</v>
      </c>
      <c r="B111" s="332">
        <f>B109+'UAT1-Jan'!B104</f>
        <v>154154</v>
      </c>
      <c r="C111" s="332">
        <f>C109+'UAT1-Jan'!C104</f>
        <v>0</v>
      </c>
      <c r="D111" s="332">
        <f>D109+'UAT1-Jan'!D104</f>
        <v>161125</v>
      </c>
      <c r="E111" s="332">
        <f>E109+'UAT1-Jan'!E104</f>
        <v>2457460</v>
      </c>
      <c r="F111" s="332">
        <f>F109+'UAT1-Jan'!F104</f>
        <v>3400000</v>
      </c>
      <c r="G111" s="332">
        <f>G109+'UAT1-Jan'!G104</f>
        <v>1510875</v>
      </c>
      <c r="H111" s="332">
        <f>H109+'UAT1-Jan'!H104</f>
        <v>67615305</v>
      </c>
      <c r="I111" s="332">
        <f>I109+'UAT1-Jan'!I104</f>
        <v>32437563</v>
      </c>
      <c r="J111" s="332">
        <f>J109+'UAT1-Jan'!J104</f>
        <v>12506179</v>
      </c>
      <c r="K111" s="332">
        <f>K109+'UAT1-Jan'!K104</f>
        <v>140000</v>
      </c>
      <c r="L111" s="332">
        <f>L109+'UAT1-Jan'!L104</f>
        <v>34813800</v>
      </c>
      <c r="M111" s="332">
        <f>M109+'UAT1-Jan'!M104</f>
        <v>0</v>
      </c>
      <c r="N111" s="332">
        <f>N109+'UAT1-Jan'!N104</f>
        <v>0</v>
      </c>
      <c r="O111" s="400">
        <f>O109+'UAT1-Jan'!O104</f>
        <v>600000</v>
      </c>
      <c r="P111" s="346">
        <f t="shared" si="49"/>
        <v>155796461</v>
      </c>
      <c r="Q111" s="347"/>
      <c r="R111" s="347"/>
      <c r="S111" s="347"/>
      <c r="T111" s="347"/>
      <c r="U111" s="347"/>
    </row>
    <row r="112" spans="1:21">
      <c r="A112" s="445" t="s">
        <v>489</v>
      </c>
      <c r="B112" s="332">
        <f>B106+'UAT1-Jan'!B105</f>
        <v>2100000</v>
      </c>
      <c r="C112" s="332">
        <f>C106+'UAT1-Jan'!C105</f>
        <v>1963500</v>
      </c>
      <c r="D112" s="332">
        <f>D106+'UAT1-Jan'!D105</f>
        <v>555000</v>
      </c>
      <c r="E112" s="332">
        <f>E106+'UAT1-Jan'!E105</f>
        <v>1890000</v>
      </c>
      <c r="F112" s="332">
        <f>F106+'UAT1-Jan'!F105</f>
        <v>0</v>
      </c>
      <c r="G112" s="332">
        <f>G106+'UAT1-Jan'!G105</f>
        <v>0</v>
      </c>
      <c r="H112" s="332">
        <f>H106+'UAT1-Jan'!H105</f>
        <v>834000</v>
      </c>
      <c r="I112" s="332">
        <f>I106+'UAT1-Jan'!I105</f>
        <v>417000</v>
      </c>
      <c r="J112" s="332">
        <f>J106+'UAT1-Jan'!J105</f>
        <v>3291000</v>
      </c>
      <c r="K112" s="332">
        <f>K106+'UAT1-Jan'!K105</f>
        <v>0</v>
      </c>
      <c r="L112" s="332">
        <f>L106+'UAT1-Jan'!L105</f>
        <v>6954000</v>
      </c>
      <c r="M112" s="332">
        <f>M106+'UAT1-Jan'!M105</f>
        <v>0</v>
      </c>
      <c r="N112" s="332">
        <f>N106+'UAT1-Jan'!N105</f>
        <v>0</v>
      </c>
      <c r="O112" s="400">
        <f>O106+'UAT1-Jan'!O105</f>
        <v>0</v>
      </c>
      <c r="P112" s="346">
        <f t="shared" si="49"/>
        <v>18004500</v>
      </c>
      <c r="Q112" s="380"/>
      <c r="R112" s="380"/>
      <c r="S112" s="380"/>
      <c r="T112" s="380"/>
      <c r="U112" s="380"/>
    </row>
    <row r="113" spans="1:21">
      <c r="A113" s="412"/>
      <c r="B113" s="14"/>
      <c r="C113" s="7"/>
      <c r="D113" s="7"/>
      <c r="E113" s="322"/>
      <c r="F113" s="7"/>
      <c r="G113" s="7"/>
      <c r="H113" s="7"/>
      <c r="I113" s="7"/>
      <c r="J113" s="7"/>
      <c r="K113" s="322"/>
      <c r="L113" s="322"/>
      <c r="M113" s="322"/>
      <c r="N113" s="322"/>
      <c r="O113" s="381"/>
      <c r="P113" s="346"/>
      <c r="Q113" s="347"/>
      <c r="R113" s="347"/>
      <c r="S113" s="347"/>
      <c r="T113" s="347"/>
      <c r="U113" s="347"/>
    </row>
    <row r="114" spans="1:21" ht="15.6">
      <c r="A114" s="411" t="s">
        <v>825</v>
      </c>
      <c r="B114" s="14"/>
      <c r="C114" s="7"/>
      <c r="D114" s="7"/>
      <c r="E114" s="322"/>
      <c r="F114" s="7"/>
      <c r="G114" s="7"/>
      <c r="H114" s="7"/>
      <c r="I114" s="7"/>
      <c r="J114" s="7"/>
      <c r="K114" s="322"/>
      <c r="L114" s="322"/>
      <c r="M114" s="322"/>
      <c r="N114" s="322"/>
      <c r="O114" s="381"/>
      <c r="P114" s="346"/>
      <c r="Q114" s="347"/>
      <c r="R114" s="347"/>
      <c r="S114" s="347"/>
      <c r="T114" s="347"/>
      <c r="U114" s="347"/>
    </row>
    <row r="115" spans="1:21">
      <c r="A115" s="445" t="s">
        <v>432</v>
      </c>
      <c r="B115" s="549">
        <f>'UAT1-Jan'!B108</f>
        <v>160</v>
      </c>
      <c r="C115" s="549">
        <f>'UAT1-Jan'!C108</f>
        <v>72</v>
      </c>
      <c r="D115" s="549">
        <f>'UAT1-Jan'!D108</f>
        <v>156.93</v>
      </c>
      <c r="E115" s="549">
        <f>'UAT1-Jan'!E108</f>
        <v>160</v>
      </c>
      <c r="F115" s="549">
        <f>'UAT1-Jan'!F108</f>
        <v>128</v>
      </c>
      <c r="G115" s="549">
        <f>'UAT1-Jan'!G108</f>
        <v>0</v>
      </c>
      <c r="H115" s="549">
        <f>'UAT1-Jan'!H108</f>
        <v>80</v>
      </c>
      <c r="I115" s="549">
        <f>'UAT1-Jan'!I108</f>
        <v>0</v>
      </c>
      <c r="J115" s="549">
        <f>'UAT1-Jan'!J108</f>
        <v>44.32</v>
      </c>
      <c r="K115" s="549">
        <f>'UAT1-Jan'!K108</f>
        <v>160</v>
      </c>
      <c r="L115" s="549">
        <f>'UAT1-Jan'!L108</f>
        <v>160</v>
      </c>
      <c r="M115" s="549">
        <f>'UAT1-Jan'!M108</f>
        <v>160</v>
      </c>
      <c r="N115" s="549">
        <f>'UAT1-Jan'!N108</f>
        <v>160</v>
      </c>
      <c r="O115" s="550">
        <f>'UAT1-Jan'!O108</f>
        <v>0</v>
      </c>
      <c r="P115" s="478">
        <v>1540</v>
      </c>
      <c r="Q115" s="347"/>
      <c r="R115" s="347"/>
      <c r="S115" s="347"/>
      <c r="T115" s="347"/>
      <c r="U115" s="347"/>
    </row>
    <row r="116" spans="1:21">
      <c r="A116" s="445" t="s">
        <v>433</v>
      </c>
      <c r="B116" s="549">
        <f>'UAT1-Jan'!B109</f>
        <v>80</v>
      </c>
      <c r="C116" s="549">
        <f>'UAT1-Jan'!C109</f>
        <v>36</v>
      </c>
      <c r="D116" s="549">
        <f>'UAT1-Jan'!D109</f>
        <v>78.47</v>
      </c>
      <c r="E116" s="549">
        <f>'UAT1-Jan'!E109</f>
        <v>80</v>
      </c>
      <c r="F116" s="549">
        <f>'UAT1-Jan'!F109</f>
        <v>64</v>
      </c>
      <c r="G116" s="549">
        <f>'UAT1-Jan'!G109</f>
        <v>0</v>
      </c>
      <c r="H116" s="549">
        <f>'UAT1-Jan'!H109</f>
        <v>40</v>
      </c>
      <c r="I116" s="549">
        <f>'UAT1-Jan'!I109</f>
        <v>0</v>
      </c>
      <c r="J116" s="549">
        <f>'UAT1-Jan'!J109</f>
        <v>22.16</v>
      </c>
      <c r="K116" s="549">
        <f>'UAT1-Jan'!K109</f>
        <v>80</v>
      </c>
      <c r="L116" s="549">
        <f>'UAT1-Jan'!L109</f>
        <v>80</v>
      </c>
      <c r="M116" s="549">
        <f>'UAT1-Jan'!M109</f>
        <v>80</v>
      </c>
      <c r="N116" s="549">
        <f>'UAT1-Jan'!N109</f>
        <v>80</v>
      </c>
      <c r="O116" s="550">
        <f>'UAT1-Jan'!O109</f>
        <v>0</v>
      </c>
      <c r="P116" s="478">
        <v>769</v>
      </c>
      <c r="Q116" s="347"/>
      <c r="R116" s="347"/>
      <c r="S116" s="347"/>
      <c r="T116" s="347"/>
      <c r="U116" s="347"/>
    </row>
    <row r="117" spans="1:21">
      <c r="A117" s="445" t="s">
        <v>434</v>
      </c>
      <c r="B117" s="549">
        <f>'UAT1-Jan'!B110</f>
        <v>0</v>
      </c>
      <c r="C117" s="549">
        <f>'UAT1-Jan'!C110</f>
        <v>0</v>
      </c>
      <c r="D117" s="549">
        <f>'UAT1-Jan'!D110</f>
        <v>0</v>
      </c>
      <c r="E117" s="549">
        <f>'UAT1-Jan'!E110</f>
        <v>0</v>
      </c>
      <c r="F117" s="549">
        <f>'UAT1-Jan'!F110</f>
        <v>0</v>
      </c>
      <c r="G117" s="549">
        <f>'UAT1-Jan'!G110</f>
        <v>0</v>
      </c>
      <c r="H117" s="549">
        <f>'UAT1-Jan'!H110</f>
        <v>0</v>
      </c>
      <c r="I117" s="549">
        <f>'UAT1-Jan'!I110</f>
        <v>0</v>
      </c>
      <c r="J117" s="549">
        <f>'UAT1-Jan'!J110</f>
        <v>0</v>
      </c>
      <c r="K117" s="549">
        <f>'UAT1-Jan'!K110</f>
        <v>0</v>
      </c>
      <c r="L117" s="549">
        <f>'UAT1-Jan'!L110</f>
        <v>0</v>
      </c>
      <c r="M117" s="549">
        <f>'UAT1-Jan'!M110</f>
        <v>0</v>
      </c>
      <c r="N117" s="549">
        <f>'UAT1-Jan'!N110</f>
        <v>0</v>
      </c>
      <c r="O117" s="550">
        <f>'UAT1-Jan'!O110</f>
        <v>0</v>
      </c>
      <c r="P117" s="478">
        <v>0</v>
      </c>
      <c r="Q117" s="347"/>
      <c r="R117" s="347"/>
      <c r="S117" s="347"/>
      <c r="T117" s="347"/>
      <c r="U117" s="347"/>
    </row>
    <row r="118" spans="1:21">
      <c r="A118" s="445" t="s">
        <v>435</v>
      </c>
      <c r="B118" s="549">
        <f>'UAT1-Jan'!B111</f>
        <v>0</v>
      </c>
      <c r="C118" s="549">
        <f>'UAT1-Jan'!C111</f>
        <v>0</v>
      </c>
      <c r="D118" s="549">
        <f>'UAT1-Jan'!D111</f>
        <v>0</v>
      </c>
      <c r="E118" s="549">
        <f>'UAT1-Jan'!E111</f>
        <v>0</v>
      </c>
      <c r="F118" s="549">
        <f>'UAT1-Jan'!F111</f>
        <v>0</v>
      </c>
      <c r="G118" s="549">
        <f>'UAT1-Jan'!G111</f>
        <v>0</v>
      </c>
      <c r="H118" s="549">
        <f>'UAT1-Jan'!H111</f>
        <v>0</v>
      </c>
      <c r="I118" s="549">
        <f>'UAT1-Jan'!I111</f>
        <v>0</v>
      </c>
      <c r="J118" s="549">
        <f>'UAT1-Jan'!J111</f>
        <v>0</v>
      </c>
      <c r="K118" s="549">
        <f>'UAT1-Jan'!K111</f>
        <v>0</v>
      </c>
      <c r="L118" s="549">
        <f>'UAT1-Jan'!L111</f>
        <v>0</v>
      </c>
      <c r="M118" s="549">
        <f>'UAT1-Jan'!M111</f>
        <v>0</v>
      </c>
      <c r="N118" s="549">
        <f>'UAT1-Jan'!N111</f>
        <v>0</v>
      </c>
      <c r="O118" s="550">
        <f>'UAT1-Jan'!O111</f>
        <v>0</v>
      </c>
      <c r="P118" s="478">
        <v>0</v>
      </c>
      <c r="Q118" s="347"/>
      <c r="R118" s="347"/>
      <c r="S118" s="347"/>
      <c r="T118" s="347"/>
      <c r="U118" s="347"/>
    </row>
    <row r="119" spans="1:21">
      <c r="A119" s="445" t="s">
        <v>436</v>
      </c>
      <c r="B119" s="549">
        <f>'UAT1-Jan'!B112</f>
        <v>0</v>
      </c>
      <c r="C119" s="549">
        <f>'UAT1-Jan'!C112</f>
        <v>0</v>
      </c>
      <c r="D119" s="549">
        <f>'UAT1-Jan'!D112</f>
        <v>0</v>
      </c>
      <c r="E119" s="549">
        <f>'UAT1-Jan'!E112</f>
        <v>0</v>
      </c>
      <c r="F119" s="549">
        <f>'UAT1-Jan'!F112</f>
        <v>0</v>
      </c>
      <c r="G119" s="549">
        <f>'UAT1-Jan'!G112</f>
        <v>0</v>
      </c>
      <c r="H119" s="549">
        <f>'UAT1-Jan'!H112</f>
        <v>0</v>
      </c>
      <c r="I119" s="549">
        <f>'UAT1-Jan'!I112</f>
        <v>0</v>
      </c>
      <c r="J119" s="549">
        <f>'UAT1-Jan'!J112</f>
        <v>0</v>
      </c>
      <c r="K119" s="549">
        <f>'UAT1-Jan'!K112</f>
        <v>0</v>
      </c>
      <c r="L119" s="549">
        <f>'UAT1-Jan'!L112</f>
        <v>0</v>
      </c>
      <c r="M119" s="549">
        <f>'UAT1-Jan'!M112</f>
        <v>0</v>
      </c>
      <c r="N119" s="549">
        <f>'UAT1-Jan'!N112</f>
        <v>0</v>
      </c>
      <c r="O119" s="550">
        <f>'UAT1-Jan'!O112</f>
        <v>0</v>
      </c>
      <c r="P119" s="478">
        <v>0</v>
      </c>
      <c r="Q119" s="347"/>
      <c r="R119" s="347"/>
      <c r="S119" s="347"/>
      <c r="T119" s="347"/>
      <c r="U119" s="347"/>
    </row>
    <row r="120" spans="1:21">
      <c r="A120" s="445"/>
      <c r="F120" s="5"/>
      <c r="G120" s="5"/>
      <c r="H120" s="5"/>
      <c r="I120" s="5"/>
      <c r="Q120" s="347"/>
      <c r="R120" s="347"/>
      <c r="S120" s="347"/>
      <c r="T120" s="347"/>
      <c r="U120" s="347"/>
    </row>
    <row r="121" spans="1:21" ht="15.6">
      <c r="A121" s="411" t="s">
        <v>437</v>
      </c>
      <c r="Q121" s="347"/>
      <c r="R121" s="347"/>
      <c r="S121" s="347"/>
      <c r="T121" s="347"/>
      <c r="U121" s="347"/>
    </row>
    <row r="122" spans="1:21">
      <c r="A122" s="6" t="s">
        <v>863</v>
      </c>
      <c r="B122" s="551">
        <f>IF(OR(B11="S",B11="C"),0,IF(OR(B11="1",B11="3"),ROUND(20*8*B16/365,5),ROUND(20*'New Hire'!C24*B16/365,5)))+'UAT1-Jan'!B115</f>
        <v>25.863010000000003</v>
      </c>
      <c r="C122" s="551">
        <f>IF(OR(C11="S",C11="C"),0,IF(OR(C11="1",C11="3"),ROUND(20*8*C16/365,5),ROUND(20*'New Hire'!D24*C16/365,5)))+'UAT1-Jan'!C115</f>
        <v>11.63836</v>
      </c>
      <c r="D122" s="551">
        <f>IF(OR(D11="S",D11="C"),0,IF(OR(D11="1",D11="3"),ROUND(20*8*D16/365,5),ROUND(20*'New Hire'!E24*D16/365,5)))+'UAT1-Jan'!D115</f>
        <v>22.794519999999999</v>
      </c>
      <c r="E122" s="551">
        <f>IF(OR(E11="S",E11="C"),0,IF(OR(E11="1",E11="3"),ROUND(20*8*E16/365,5),ROUND(20*'New Hire'!F24*E16/365,5)))+'UAT1-Jan'!E115</f>
        <v>25.863010000000003</v>
      </c>
      <c r="F122" s="551">
        <f>IF(OR(F11="S",F11="C"),0,IF(OR(F11="1",F11="3"),ROUND(20*8*F16/365,5),ROUND(20*'New Hire'!G24*F16/365,5)))+'UAT1-Jan'!F115</f>
        <v>20.69041</v>
      </c>
      <c r="G122" s="551">
        <f>IF(OR(G11="S",G11="C"),0,IF(OR(G11="1",G11="3"),ROUND(20*8*G16/365,5),ROUND(20*'New Hire'!H24*G16/365,5)))+'UAT1-Jan'!G115</f>
        <v>0</v>
      </c>
      <c r="H122" s="551">
        <f>IF(OR(H11="S",H11="C"),0,IF(OR(H11="1",H11="3"),ROUND(20*8*H16/365,5),ROUND(20*'New Hire'!I24*H16/365,5)))+'UAT1-Jan'!H115</f>
        <v>12.931509999999999</v>
      </c>
      <c r="I122" s="551">
        <f>IF(OR(I11="S",I11="C"),0,IF(OR(I11="1",I11="3"),ROUND(20*8*I16/365,5),ROUND(20*'New Hire'!J24*I16/365,5)))+'UAT1-Jan'!I115</f>
        <v>0</v>
      </c>
      <c r="J122" s="551">
        <f>IF(OR(J11="S",J11="C"),0,IF(OR(J11="1",J11="3"),ROUND(20*8*J16/365,5),ROUND(20*'New Hire'!K24*J16/365,5)))+'UAT1-Jan'!J115</f>
        <v>4.0767100000000003</v>
      </c>
      <c r="K122" s="551">
        <f>IF(OR(K11="S",K11="C"),0,IF(OR(K11="1",K11="3"),ROUND(20*8*K16/365,5),ROUND(20*'New Hire'!L24*K16/365,5)))+'UAT1-Jan'!K115</f>
        <v>25.863010000000003</v>
      </c>
      <c r="L122" s="551">
        <f>IF(OR(L11="S",L11="C"),0,IF(OR(L11="1",L11="3"),ROUND(20*8*L16/365,5),ROUND(20*'New Hire'!M24*L16/365,5)))+'UAT1-Jan'!L115</f>
        <v>25.863010000000003</v>
      </c>
      <c r="M122" s="551">
        <f>IF(OR(M11="S",M11="C"),0,IF(OR(M11="1",M11="3"),ROUND(20*8*M16/365,5),ROUND(20*'New Hire'!N24*M16/365,5)))+'UAT1-Jan'!M115</f>
        <v>25.863010000000003</v>
      </c>
      <c r="N122" s="551">
        <f>IF(OR(N11="S",N11="C"),0,IF(OR(N11="1",N11="3"),ROUND(20*8*N16/365,5),ROUND(20*'New Hire'!O24*N16/365,5)))+'UAT1-Jan'!N115</f>
        <v>25.863010000000003</v>
      </c>
      <c r="O122" s="551">
        <f>IF(OR(O11="S",O11="C"),0,IF(OR(O11="1",O11="3"),ROUND(20*8*O16/365,5),ROUND(20*'New Hire'!P24*O16/365,5)))+'UAT1-Jan'!O115</f>
        <v>0</v>
      </c>
      <c r="P122" s="347"/>
    </row>
    <row r="123" spans="1:21">
      <c r="A123" s="6" t="s">
        <v>864</v>
      </c>
      <c r="B123" s="552">
        <f>IF(OR(B11="S",B11="C"),0,IF(OR(B11="1",B11="3"),ROUND(10*8*B16/365,5),ROUND(10*'New Hire'!C24*B16/365,5)))+'UAT1-Jan'!B116</f>
        <v>12.931509999999999</v>
      </c>
      <c r="C123" s="552">
        <f>IF(OR(C11="S",C11="C"),0,IF(OR(C11="1",C11="3"),ROUND(10*8*C16/365,5),ROUND(10*'New Hire'!D24*C16/365,5)))+'UAT1-Jan'!C116</f>
        <v>5.8191699999999997</v>
      </c>
      <c r="D123" s="552">
        <f>IF(OR(D11="S",D11="C"),0,IF(OR(D11="1",D11="3"),ROUND(10*8*D16/365,5),ROUND(10*'New Hire'!E24*D16/365,5)))+'UAT1-Jan'!D116</f>
        <v>11.397259999999999</v>
      </c>
      <c r="E123" s="552">
        <f>IF(OR(E11="S",E11="C"),0,IF(OR(E11="1",E11="3"),ROUND(10*8*E16/365,5),ROUND(10*'New Hire'!F24*E16/365,5)))+'UAT1-Jan'!E116</f>
        <v>12.931509999999999</v>
      </c>
      <c r="F123" s="552">
        <f>IF(OR(F11="S",F11="C"),0,IF(OR(F11="1",F11="3"),ROUND(10*8*F16/365,5),ROUND(10*'New Hire'!G24*F16/365,5)))+'UAT1-Jan'!F116</f>
        <v>10.34521</v>
      </c>
      <c r="G123" s="552">
        <f>IF(OR(G11="S",G11="C"),0,IF(OR(G11="1",G11="3"),ROUND(10*8*G16/365,5),ROUND(10*'New Hire'!H24*G16/365,5)))+'UAT1-Jan'!G116</f>
        <v>0</v>
      </c>
      <c r="H123" s="552">
        <f>IF(OR(H11="S",H11="C"),0,IF(OR(H11="1",H11="3"),ROUND(10*8*H16/365,5),ROUND(10*'New Hire'!I24*H16/365,5)))+'UAT1-Jan'!H116</f>
        <v>6.4657499999999999</v>
      </c>
      <c r="I123" s="552">
        <f>IF(OR(I11="S",I11="C"),0,IF(OR(I11="1",I11="3"),ROUND(10*8*I16/365,5),ROUND(10*'New Hire'!J24*I16/365,5)))+'UAT1-Jan'!I116</f>
        <v>0</v>
      </c>
      <c r="J123" s="552">
        <f>IF(OR(J11="S",J11="C"),0,IF(OR(J11="1",J11="3"),ROUND(10*8*J16/365,5),ROUND(10*'New Hire'!K24*J16/365,5)))+'UAT1-Jan'!J116</f>
        <v>2.0383599999999999</v>
      </c>
      <c r="K123" s="552">
        <f>IF(OR(K11="S",K11="C"),0,IF(OR(K11="1",K11="3"),ROUND(10*8*K16/365,5),ROUND(10*'New Hire'!L24*K16/365,5)))+'UAT1-Jan'!K116</f>
        <v>12.931509999999999</v>
      </c>
      <c r="L123" s="552">
        <f>IF(OR(L11="S",L11="C"),0,IF(OR(L11="1",L11="3"),ROUND(10*8*L16/365,5),ROUND(10*'New Hire'!M24*L16/365,5)))+'UAT1-Jan'!L116</f>
        <v>12.931509999999999</v>
      </c>
      <c r="M123" s="552">
        <f>IF(OR(M11="S",M11="C"),0,IF(OR(M11="1",M11="3"),ROUND(10*8*M16/365,5),ROUND(10*'New Hire'!N24*M16/365,5)))+'UAT1-Jan'!M116</f>
        <v>12.931509999999999</v>
      </c>
      <c r="N123" s="552">
        <f>IF(OR(N11="S",N11="C"),0,IF(OR(N11="1",N11="3"),ROUND(10*8*N16/365,5),ROUND(10*'New Hire'!O24*N16/365,5)))+'UAT1-Jan'!N116</f>
        <v>12.931509999999999</v>
      </c>
      <c r="O123" s="552">
        <f>IF(OR(O11="S",O11="C"),0,IF(OR(O11="1",O11="3"),ROUND(10*8*O16/365,5),ROUND(10*'New Hire'!P24*O16/365,5)))+'UAT1-Jan'!O116</f>
        <v>0</v>
      </c>
    </row>
    <row r="124" spans="1:21">
      <c r="A124" s="445" t="s">
        <v>829</v>
      </c>
      <c r="B124" s="551">
        <f>IF('New Hire'!C78=1,ROUND(25/10*B13%/365,5)*B16,0)+'UAT1-Jan'!B117</f>
        <v>0</v>
      </c>
      <c r="C124" s="551">
        <f>IF('New Hire'!D78=1,ROUND(25/10*C13%/365,5)*C16,0)+'UAT1-Jan'!C117</f>
        <v>0</v>
      </c>
      <c r="D124" s="551">
        <f>IF('New Hire'!E78=1,ROUND(25/10*D13%/365,5)*D16,0)+'UAT1-Jan'!D117</f>
        <v>0</v>
      </c>
      <c r="E124" s="551">
        <f>IF('New Hire'!F78=1,ROUND(25/10*E13%/365,5)*E16,0)+'UAT1-Jan'!E117</f>
        <v>0</v>
      </c>
      <c r="F124" s="551">
        <f>IF('New Hire'!G78=1,ROUND(25/10*F13%/365,5)*F16,0)+'UAT1-Jan'!F117</f>
        <v>0.40415000000000001</v>
      </c>
      <c r="G124" s="551">
        <f>IF('New Hire'!H78=1,ROUND(25/10*G13%/365,5)*G16,0)+'UAT1-Jan'!G117</f>
        <v>0</v>
      </c>
      <c r="H124" s="551">
        <f>IF('New Hire'!I78=1,ROUND(25/10*H13%/365,5)*H16,0)+'UAT1-Jan'!H117</f>
        <v>0</v>
      </c>
      <c r="I124" s="551">
        <f>IF('New Hire'!J78=1,ROUND(25/10*I13%/365,5)*I16,0)+'UAT1-Jan'!I117</f>
        <v>0</v>
      </c>
      <c r="J124" s="551">
        <f>IF('New Hire'!K78=1,ROUND(25/10*J13%/365,5)*J16,0)+'UAT1-Jan'!J117</f>
        <v>0</v>
      </c>
      <c r="K124" s="551">
        <f>IF('New Hire'!L78=1,ROUND(25/10*K13%/365,5)*K16,0)+'UAT1-Jan'!K117</f>
        <v>0</v>
      </c>
      <c r="L124" s="551">
        <f>IF('New Hire'!M78=1,ROUND(25/10*L13%/365,5)*L16,0)+'UAT1-Jan'!L117</f>
        <v>0</v>
      </c>
      <c r="M124" s="551">
        <f>IF('New Hire'!N78=1,ROUND(25/10*M13%/365,5)*M16,0)+'UAT1-Jan'!M117</f>
        <v>0</v>
      </c>
      <c r="N124" s="551">
        <f>IF('New Hire'!O78=1,ROUND(25/10*N13%/365,5)*N16,0)+'UAT1-Jan'!N117</f>
        <v>0</v>
      </c>
      <c r="O124" s="551">
        <f>IF('New Hire'!P78=1,ROUND(25/10*O13%/365,5)*O16,0)+'UAT1-Jan'!O117</f>
        <v>0</v>
      </c>
      <c r="P124" s="347"/>
    </row>
    <row r="125" spans="1:21">
      <c r="A125" s="445" t="s">
        <v>830</v>
      </c>
      <c r="B125" s="552">
        <f>IF(B11="C",0,IF('New Hire'!C78=1,0,ROUND(5/5*B13%/365,5)*B16)+'UAT1-Jan'!B118)</f>
        <v>0.16165999999999997</v>
      </c>
      <c r="C125" s="552">
        <f>IF(C11="C",0,IF('New Hire'!D78=1,0,ROUND(5/5*C13%/365,5)*C16)+'UAT1-Jan'!C118)</f>
        <v>8.0829999999999985E-2</v>
      </c>
      <c r="D125" s="552">
        <f>IF(D11="C",0,IF('New Hire'!E78=1,0,ROUND(5/5*D13%/365,5)*D16)+'UAT1-Jan'!D118)</f>
        <v>0.14248</v>
      </c>
      <c r="E125" s="552">
        <f>IF(E11="C",0,IF('New Hire'!F78=1,0,ROUND(5/5*E13%/365,5)*E16)+'UAT1-Jan'!E118)</f>
        <v>0.16165999999999997</v>
      </c>
      <c r="F125" s="552">
        <f>IF(F11="C",0,IF('New Hire'!G78=1,0,ROUND(5/5*F13%/365,5)*F16)+'UAT1-Jan'!F118)</f>
        <v>0</v>
      </c>
      <c r="G125" s="552">
        <f>IF(G11="C",0,IF('New Hire'!H78=1,0,ROUND(5/5*G13%/365,5)*G16)+'UAT1-Jan'!G118)</f>
        <v>0</v>
      </c>
      <c r="H125" s="552">
        <f>IF(H11="C",0,IF('New Hire'!I78=1,0,ROUND(5/5*H13%/365,5)*H16)+'UAT1-Jan'!H118)</f>
        <v>8.0829999999999985E-2</v>
      </c>
      <c r="I125" s="552">
        <f>IF(I11="C",0,IF('New Hire'!J78=1,0,ROUND(5/5*I13%/365,5)*I16)+'UAT1-Jan'!I118)</f>
        <v>0.11507999999999999</v>
      </c>
      <c r="J125" s="552">
        <f>IF(J11="C",0,IF('New Hire'!K78=1,0,ROUND(5/5*J13%/365,5)*J16)+'UAT1-Jan'!J118)</f>
        <v>4.2470000000000001E-2</v>
      </c>
      <c r="K125" s="552">
        <f>IF(K11="C",0,IF('New Hire'!L78=1,0,ROUND(5/5*K13%/365,5)*K16)+'UAT1-Jan'!K118)</f>
        <v>0.16165999999999997</v>
      </c>
      <c r="L125" s="552">
        <f>IF(L11="C",0,IF('New Hire'!M78=1,0,ROUND(5/5*L13%/365,5)*L16)+'UAT1-Jan'!L118)</f>
        <v>0.16165999999999997</v>
      </c>
      <c r="M125" s="552">
        <f>IF(M11="C",0,IF('New Hire'!N78=1,0,ROUND(5/5*M13%/365,5)*M16)+'UAT1-Jan'!M118)</f>
        <v>0.16165999999999997</v>
      </c>
      <c r="N125" s="552">
        <f>IF(N11="C",0,IF('New Hire'!O78=1,0,ROUND(5/5*N13%/365,5)*N16)+'UAT1-Jan'!N118)</f>
        <v>0.16165999999999997</v>
      </c>
      <c r="O125" s="552">
        <f>IF(O11="C",0,IF('New Hire'!P78=1,0,ROUND(5/5*O13%/365,5)*O16)+'UAT1-Jan'!O118)</f>
        <v>0</v>
      </c>
    </row>
    <row r="126" spans="1:21">
      <c r="A126" s="445"/>
      <c r="F126" s="5"/>
      <c r="G126" s="5"/>
      <c r="H126" s="5"/>
      <c r="I126" s="5"/>
    </row>
    <row r="127" spans="1:21" ht="15.6">
      <c r="A127" s="411" t="s">
        <v>629</v>
      </c>
    </row>
    <row r="128" spans="1:21">
      <c r="A128" s="445" t="s">
        <v>479</v>
      </c>
      <c r="B128" s="452">
        <f>'New Hire'!C32</f>
        <v>5000000</v>
      </c>
      <c r="C128" s="452">
        <f>'New Hire'!D32</f>
        <v>4500000</v>
      </c>
      <c r="D128" s="452">
        <f>'New Hire'!E32</f>
        <v>7000000</v>
      </c>
      <c r="E128" s="452">
        <f>'New Hire'!F32</f>
        <v>9000000</v>
      </c>
      <c r="F128" s="452">
        <f>'New Hire'!G32</f>
        <v>14000000</v>
      </c>
      <c r="G128" s="452"/>
      <c r="H128" s="452">
        <f>'New Hire'!I32</f>
        <v>5000</v>
      </c>
      <c r="I128" s="452">
        <f>'New Hire'!J32</f>
        <v>4000</v>
      </c>
      <c r="J128" s="452">
        <f>'New Hire'!K32</f>
        <v>50000000</v>
      </c>
      <c r="K128" s="452">
        <f>'New Hire'!L32</f>
        <v>8000000</v>
      </c>
      <c r="L128" s="452">
        <f>'New Hire'!M32</f>
        <v>90000000</v>
      </c>
      <c r="M128" s="452">
        <f>'New Hire'!N32</f>
        <v>5000000</v>
      </c>
      <c r="N128" s="452">
        <f>'New Hire'!O32</f>
        <v>6500000</v>
      </c>
    </row>
    <row r="129" spans="1:15">
      <c r="A129" s="445" t="s">
        <v>776</v>
      </c>
      <c r="B129" s="452"/>
      <c r="C129" s="452"/>
      <c r="D129" s="452"/>
      <c r="E129" s="452"/>
      <c r="F129" s="452"/>
      <c r="G129" s="452">
        <v>200</v>
      </c>
      <c r="H129" s="452"/>
      <c r="I129" s="452"/>
      <c r="J129" s="452"/>
      <c r="K129" s="452"/>
      <c r="L129" s="452"/>
      <c r="M129" s="452"/>
      <c r="N129" s="452"/>
      <c r="O129" s="452">
        <f>'New Hire'!P32</f>
        <v>800000</v>
      </c>
    </row>
    <row r="130" spans="1:15">
      <c r="A130" s="451" t="s">
        <v>496</v>
      </c>
      <c r="B130" s="452">
        <f>'New Hire'!C34</f>
        <v>500000</v>
      </c>
      <c r="C130" s="452">
        <f>'New Hire'!D34</f>
        <v>450000</v>
      </c>
      <c r="D130" s="452">
        <f>'New Hire'!E34</f>
        <v>700000</v>
      </c>
      <c r="E130" s="452">
        <f>'New Hire'!F34</f>
        <v>0</v>
      </c>
      <c r="F130" s="452">
        <f>'New Hire'!G34</f>
        <v>0</v>
      </c>
      <c r="G130" s="452">
        <f>'New Hire'!H34</f>
        <v>0</v>
      </c>
      <c r="H130" s="452">
        <f>'New Hire'!I34</f>
        <v>500</v>
      </c>
      <c r="I130" s="452">
        <f>'New Hire'!J34</f>
        <v>0</v>
      </c>
      <c r="J130" s="452">
        <f>'New Hire'!K34</f>
        <v>5000000</v>
      </c>
      <c r="K130" s="452">
        <f>'New Hire'!L34</f>
        <v>800000</v>
      </c>
      <c r="L130" s="452">
        <f>'New Hire'!M34</f>
        <v>0</v>
      </c>
      <c r="M130" s="452">
        <f>'New Hire'!N34</f>
        <v>1000000</v>
      </c>
      <c r="N130" s="452">
        <f>'New Hire'!O34</f>
        <v>1000000</v>
      </c>
      <c r="O130" s="452">
        <f>'New Hire'!P34</f>
        <v>0</v>
      </c>
    </row>
    <row r="131" spans="1:15">
      <c r="A131" s="415" t="s">
        <v>569</v>
      </c>
      <c r="B131" s="452">
        <f>'New Hire'!C36</f>
        <v>1000000</v>
      </c>
      <c r="C131" s="452">
        <f>'New Hire'!D36</f>
        <v>900000</v>
      </c>
      <c r="D131" s="452">
        <f>'New Hire'!E36</f>
        <v>1400000</v>
      </c>
      <c r="E131" s="452">
        <f>'New Hire'!F36</f>
        <v>0</v>
      </c>
      <c r="F131" s="452">
        <f>'New Hire'!G36</f>
        <v>0</v>
      </c>
      <c r="G131" s="452">
        <f>'New Hire'!H36</f>
        <v>0</v>
      </c>
      <c r="H131" s="452">
        <f>'New Hire'!I36</f>
        <v>1000</v>
      </c>
      <c r="I131" s="452">
        <f>'New Hire'!J36</f>
        <v>0</v>
      </c>
      <c r="J131" s="452">
        <f>'New Hire'!K36</f>
        <v>10000000</v>
      </c>
      <c r="K131" s="452">
        <f>'New Hire'!L36</f>
        <v>1600000</v>
      </c>
      <c r="L131" s="452">
        <f>'New Hire'!M36</f>
        <v>0</v>
      </c>
      <c r="M131" s="452">
        <f>'New Hire'!N36</f>
        <v>1500000</v>
      </c>
      <c r="N131" s="452">
        <f>'New Hire'!O36</f>
        <v>1500000</v>
      </c>
      <c r="O131" s="452">
        <f>'New Hire'!P36</f>
        <v>0</v>
      </c>
    </row>
    <row r="132" spans="1:15">
      <c r="A132" s="423" t="s">
        <v>495</v>
      </c>
      <c r="B132" s="452">
        <v>3000000</v>
      </c>
      <c r="C132" s="452">
        <v>3000000</v>
      </c>
      <c r="D132" s="452">
        <v>3000000</v>
      </c>
      <c r="E132" s="452">
        <v>3000000</v>
      </c>
      <c r="F132" s="452">
        <v>3000000</v>
      </c>
      <c r="G132" s="453">
        <v>0</v>
      </c>
      <c r="H132" s="453">
        <v>0</v>
      </c>
      <c r="I132" s="453">
        <v>0</v>
      </c>
      <c r="J132" s="453">
        <v>0</v>
      </c>
      <c r="K132" s="453">
        <v>0</v>
      </c>
      <c r="L132" s="453">
        <v>0</v>
      </c>
      <c r="M132" s="453">
        <v>0</v>
      </c>
      <c r="N132" s="453">
        <v>0</v>
      </c>
      <c r="O132" s="453">
        <v>0</v>
      </c>
    </row>
    <row r="133" spans="1:15">
      <c r="A133" s="423" t="s">
        <v>1255</v>
      </c>
      <c r="B133" s="452">
        <f>AA57</f>
        <v>1500000</v>
      </c>
      <c r="C133" s="452">
        <f>AA58</f>
        <v>1500000</v>
      </c>
      <c r="D133" s="452"/>
      <c r="E133" s="452"/>
      <c r="F133" s="452"/>
      <c r="G133" s="453"/>
      <c r="H133" s="453">
        <f>AA59</f>
        <v>100</v>
      </c>
      <c r="I133" s="453"/>
      <c r="J133" s="453"/>
      <c r="K133" s="453"/>
      <c r="L133" s="453"/>
      <c r="M133" s="453"/>
      <c r="N133" s="453"/>
      <c r="O133" s="453"/>
    </row>
    <row r="134" spans="1:15">
      <c r="A134" s="412" t="s">
        <v>530</v>
      </c>
      <c r="B134" s="452">
        <v>2000000</v>
      </c>
      <c r="C134" s="452">
        <v>2000000</v>
      </c>
      <c r="D134" s="452">
        <v>2000000</v>
      </c>
      <c r="E134" s="452"/>
      <c r="F134" s="455"/>
      <c r="G134" s="455"/>
      <c r="H134" s="455">
        <v>350</v>
      </c>
      <c r="I134" s="455">
        <v>335</v>
      </c>
      <c r="J134" s="455"/>
      <c r="K134" s="455"/>
      <c r="L134" s="455"/>
      <c r="M134" s="455"/>
      <c r="N134" s="455"/>
      <c r="O134" s="455"/>
    </row>
    <row r="135" spans="1:15">
      <c r="A135" s="423" t="s">
        <v>598</v>
      </c>
      <c r="B135" s="332">
        <v>1800000</v>
      </c>
      <c r="C135" s="332">
        <v>1800000</v>
      </c>
      <c r="D135" s="332">
        <v>1800000</v>
      </c>
      <c r="E135" s="332">
        <v>1800000</v>
      </c>
      <c r="F135" s="332">
        <v>1800000</v>
      </c>
      <c r="G135" s="340"/>
      <c r="H135" s="332"/>
      <c r="I135" s="332"/>
      <c r="J135" s="455"/>
      <c r="K135" s="455"/>
      <c r="L135" s="455"/>
      <c r="M135" s="455"/>
      <c r="N135" s="455"/>
      <c r="O135" s="455"/>
    </row>
    <row r="136" spans="1:15">
      <c r="A136" s="415" t="s">
        <v>493</v>
      </c>
      <c r="B136" s="452"/>
      <c r="C136" s="332">
        <v>730000</v>
      </c>
      <c r="D136" s="332">
        <v>730000</v>
      </c>
      <c r="E136" s="456"/>
      <c r="F136" s="340"/>
      <c r="G136" s="340"/>
      <c r="H136" s="332"/>
      <c r="I136" s="332"/>
      <c r="J136" s="455"/>
      <c r="K136" s="332">
        <v>730000</v>
      </c>
      <c r="L136" s="455"/>
      <c r="M136" s="455"/>
      <c r="N136" s="455"/>
      <c r="O136" s="455"/>
    </row>
    <row r="137" spans="1:15">
      <c r="A137" s="415" t="s">
        <v>499</v>
      </c>
      <c r="B137" s="452">
        <v>2000000</v>
      </c>
      <c r="C137" s="452">
        <v>2000000</v>
      </c>
      <c r="D137" s="452">
        <v>2000000</v>
      </c>
      <c r="E137" s="456"/>
      <c r="F137" s="340"/>
      <c r="G137" s="340"/>
      <c r="H137" s="332"/>
      <c r="I137" s="332"/>
      <c r="J137" s="455"/>
      <c r="K137" s="455"/>
      <c r="L137" s="455"/>
      <c r="M137" s="455"/>
      <c r="N137" s="455"/>
      <c r="O137" s="455"/>
    </row>
    <row r="138" spans="1:15">
      <c r="A138" s="6" t="s">
        <v>630</v>
      </c>
      <c r="B138" s="452"/>
      <c r="C138" s="452"/>
      <c r="D138" s="452"/>
      <c r="E138" s="456"/>
      <c r="F138" s="340"/>
      <c r="G138" s="340"/>
      <c r="H138" s="332"/>
      <c r="I138" s="332"/>
      <c r="J138" s="455"/>
      <c r="K138" s="455"/>
      <c r="L138" s="455"/>
      <c r="M138" s="455"/>
      <c r="N138" s="455"/>
      <c r="O138" s="455"/>
    </row>
    <row r="139" spans="1:15">
      <c r="A139" s="6" t="s">
        <v>631</v>
      </c>
      <c r="B139" s="452"/>
      <c r="C139" s="452"/>
      <c r="D139" s="452"/>
      <c r="E139" s="456"/>
      <c r="F139" s="340"/>
      <c r="G139" s="340"/>
      <c r="H139" s="332"/>
      <c r="I139" s="332"/>
      <c r="J139" s="455"/>
      <c r="K139" s="455"/>
      <c r="L139" s="455"/>
      <c r="M139" s="455"/>
      <c r="N139" s="455"/>
      <c r="O139" s="455"/>
    </row>
    <row r="140" spans="1:15">
      <c r="A140" s="6" t="s">
        <v>632</v>
      </c>
      <c r="B140" s="452"/>
      <c r="C140" s="452"/>
      <c r="D140" s="452"/>
      <c r="E140" s="452"/>
      <c r="F140" s="455"/>
      <c r="G140" s="456"/>
      <c r="H140" s="340"/>
      <c r="I140" s="340"/>
      <c r="J140" s="332"/>
      <c r="K140" s="332"/>
      <c r="L140" s="340"/>
      <c r="M140" s="455"/>
      <c r="N140" s="455"/>
      <c r="O140" s="455"/>
    </row>
    <row r="141" spans="1:15">
      <c r="A141" s="412" t="s">
        <v>613</v>
      </c>
      <c r="B141" s="452"/>
      <c r="C141" s="452"/>
      <c r="D141" s="452"/>
      <c r="E141" s="452"/>
      <c r="F141" s="455"/>
      <c r="G141" s="456"/>
      <c r="H141" s="340">
        <v>100</v>
      </c>
      <c r="I141" s="340">
        <v>100</v>
      </c>
      <c r="J141" s="332"/>
      <c r="K141" s="455"/>
      <c r="L141" s="340"/>
      <c r="M141" s="455"/>
      <c r="N141" s="455"/>
      <c r="O141" s="455"/>
    </row>
    <row r="142" spans="1:15">
      <c r="A142" s="412" t="s">
        <v>614</v>
      </c>
      <c r="B142" s="452"/>
      <c r="C142" s="452"/>
      <c r="D142" s="452"/>
      <c r="E142" s="452"/>
      <c r="F142" s="455"/>
      <c r="G142" s="456"/>
      <c r="H142" s="340">
        <v>200</v>
      </c>
      <c r="I142" s="340">
        <v>200</v>
      </c>
      <c r="J142" s="332"/>
      <c r="K142" s="455"/>
      <c r="L142" s="340"/>
      <c r="M142" s="455"/>
      <c r="N142" s="455"/>
      <c r="O142" s="455"/>
    </row>
    <row r="143" spans="1:15">
      <c r="A143" s="6" t="s">
        <v>633</v>
      </c>
      <c r="B143" s="452">
        <f t="shared" ref="B143:O143" si="52">IF(OR(B18="A",B18="B"),B128,(B128-B141-B142)*$B$4)</f>
        <v>5000000</v>
      </c>
      <c r="C143" s="452">
        <f t="shared" si="52"/>
        <v>4500000</v>
      </c>
      <c r="D143" s="452">
        <f t="shared" si="52"/>
        <v>7000000</v>
      </c>
      <c r="E143" s="452">
        <f t="shared" si="52"/>
        <v>9000000</v>
      </c>
      <c r="F143" s="452">
        <f t="shared" si="52"/>
        <v>14000000</v>
      </c>
      <c r="G143" s="452">
        <f t="shared" si="52"/>
        <v>0</v>
      </c>
      <c r="H143" s="452">
        <f t="shared" si="52"/>
        <v>109063500</v>
      </c>
      <c r="I143" s="452">
        <f t="shared" si="52"/>
        <v>85858500</v>
      </c>
      <c r="J143" s="452">
        <f t="shared" si="52"/>
        <v>50000000</v>
      </c>
      <c r="K143" s="452">
        <f t="shared" si="52"/>
        <v>8000000</v>
      </c>
      <c r="L143" s="452">
        <f t="shared" si="52"/>
        <v>90000000</v>
      </c>
      <c r="M143" s="452">
        <f t="shared" si="52"/>
        <v>5000000</v>
      </c>
      <c r="N143" s="452">
        <f t="shared" si="52"/>
        <v>6500000</v>
      </c>
      <c r="O143" s="452">
        <f t="shared" si="52"/>
        <v>0</v>
      </c>
    </row>
    <row r="144" spans="1:15">
      <c r="A144" s="6" t="s">
        <v>635</v>
      </c>
      <c r="B144" s="452">
        <f t="shared" ref="B144:O144" si="53">MIN(IF(OR(B18="A",B18="B"),0,ROUND((ROUND((B128-B141-B142)*B88*$B$4,0)+ROUND(B130*$B$4,0)+ROUND(B131*$B$4,0)+ROUND(B133*$B$4,0)+ROUND(B134*$B$4,0))/$B$4,0)*$B$5),27800000)</f>
        <v>0</v>
      </c>
      <c r="C144" s="452">
        <f t="shared" si="53"/>
        <v>0</v>
      </c>
      <c r="D144" s="452">
        <f t="shared" si="53"/>
        <v>0</v>
      </c>
      <c r="E144" s="452">
        <f t="shared" si="53"/>
        <v>0</v>
      </c>
      <c r="F144" s="452">
        <f t="shared" si="53"/>
        <v>0</v>
      </c>
      <c r="G144" s="452">
        <f t="shared" si="53"/>
        <v>0</v>
      </c>
      <c r="H144" s="452">
        <f t="shared" si="53"/>
        <v>27800000</v>
      </c>
      <c r="I144" s="452">
        <f t="shared" si="53"/>
        <v>27800000</v>
      </c>
      <c r="J144" s="452">
        <f t="shared" si="53"/>
        <v>0</v>
      </c>
      <c r="K144" s="452">
        <f t="shared" si="53"/>
        <v>0</v>
      </c>
      <c r="L144" s="452">
        <f t="shared" si="53"/>
        <v>0</v>
      </c>
      <c r="M144" s="452">
        <f t="shared" si="53"/>
        <v>0</v>
      </c>
      <c r="N144" s="452">
        <f t="shared" si="53"/>
        <v>0</v>
      </c>
      <c r="O144" s="452">
        <f t="shared" si="53"/>
        <v>0</v>
      </c>
    </row>
    <row r="145" spans="1:15">
      <c r="A145" s="6" t="s">
        <v>1272</v>
      </c>
      <c r="B145" s="452">
        <f t="shared" ref="B145:O145" si="54">IF(OR(B18="A",B18="B"),0,ROUND((B143+ROUND(B130*$B$4,0)+ROUND(B131*$B$4,0)+ROUND(B133*$B$4,0)+ROUND(B134*$B$4,0))/$B$4,0)*$B$5)</f>
        <v>0</v>
      </c>
      <c r="C145" s="452">
        <f t="shared" si="54"/>
        <v>0</v>
      </c>
      <c r="D145" s="452">
        <f t="shared" si="54"/>
        <v>0</v>
      </c>
      <c r="E145" s="452">
        <f t="shared" si="54"/>
        <v>0</v>
      </c>
      <c r="F145" s="452">
        <f t="shared" si="54"/>
        <v>0</v>
      </c>
      <c r="G145" s="452">
        <f t="shared" si="54"/>
        <v>0</v>
      </c>
      <c r="H145" s="452">
        <f t="shared" si="54"/>
        <v>156275000</v>
      </c>
      <c r="I145" s="452">
        <f t="shared" si="54"/>
        <v>94822500</v>
      </c>
      <c r="J145" s="452">
        <f t="shared" si="54"/>
        <v>0</v>
      </c>
      <c r="K145" s="452">
        <f t="shared" si="54"/>
        <v>0</v>
      </c>
      <c r="L145" s="452">
        <f t="shared" si="54"/>
        <v>0</v>
      </c>
      <c r="M145" s="452">
        <f t="shared" si="54"/>
        <v>0</v>
      </c>
      <c r="N145" s="452">
        <f t="shared" si="54"/>
        <v>0</v>
      </c>
      <c r="O145" s="452">
        <f t="shared" si="54"/>
        <v>0</v>
      </c>
    </row>
    <row r="146" spans="1:15">
      <c r="A146" s="6" t="s">
        <v>665</v>
      </c>
      <c r="B146" s="5">
        <v>0</v>
      </c>
      <c r="C146" s="5">
        <v>0</v>
      </c>
      <c r="D146" s="5">
        <v>0</v>
      </c>
      <c r="E146" s="5">
        <v>0</v>
      </c>
      <c r="F146" s="5">
        <v>0</v>
      </c>
      <c r="G146" s="5">
        <v>0</v>
      </c>
      <c r="H146" s="5">
        <v>0</v>
      </c>
      <c r="I146" s="5">
        <v>0</v>
      </c>
      <c r="J146" s="5">
        <v>0</v>
      </c>
      <c r="K146" s="5">
        <v>0</v>
      </c>
      <c r="L146" s="5">
        <v>0</v>
      </c>
      <c r="M146" s="5">
        <v>0</v>
      </c>
      <c r="N146" s="5">
        <v>0</v>
      </c>
      <c r="O146" s="5">
        <v>0</v>
      </c>
    </row>
  </sheetData>
  <mergeCells count="4">
    <mergeCell ref="G6:J6"/>
    <mergeCell ref="X6:AA6"/>
    <mergeCell ref="P7:P8"/>
    <mergeCell ref="X9:AA12"/>
  </mergeCells>
  <phoneticPr fontId="104" type="noConversion"/>
  <pageMargins left="0.75" right="0.75" top="1" bottom="1" header="0.5" footer="0.5"/>
  <pageSetup paperSize="9" orientation="portrait" verticalDpi="90" r:id="rId1"/>
  <headerFooter alignWithMargins="0"/>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143"/>
  <sheetViews>
    <sheetView zoomScaleNormal="100" workbookViewId="0">
      <pane xSplit="1" ySplit="9" topLeftCell="T28" activePane="bottomRight" state="frozen"/>
      <selection pane="topRight" activeCell="B1" sqref="B1"/>
      <selection pane="bottomLeft" activeCell="A10" sqref="A10"/>
      <selection pane="bottomRight" activeCell="AB37" sqref="AB37:AB38"/>
    </sheetView>
  </sheetViews>
  <sheetFormatPr defaultRowHeight="13.8"/>
  <cols>
    <col min="1" max="1" width="31" style="5" bestFit="1" customWidth="1"/>
    <col min="2" max="5" width="10.77734375" style="5" customWidth="1"/>
    <col min="6" max="8" width="10.77734375" customWidth="1"/>
    <col min="9" max="9" width="12.6640625" bestFit="1" customWidth="1"/>
    <col min="10" max="15" width="10.77734375" customWidth="1"/>
    <col min="16" max="16" width="12.6640625" bestFit="1" customWidth="1"/>
    <col min="17" max="18" width="12.77734375" customWidth="1"/>
    <col min="19" max="21" width="10.77734375" customWidth="1"/>
    <col min="22" max="26" width="9.33203125" style="5" customWidth="1"/>
    <col min="27" max="27" width="10.77734375" style="5" bestFit="1" customWidth="1"/>
    <col min="28" max="29" width="9.33203125" style="5" customWidth="1"/>
  </cols>
  <sheetData>
    <row r="1" spans="1:29" s="3" customFormat="1" ht="20.399999999999999">
      <c r="A1" s="110" t="s">
        <v>6</v>
      </c>
      <c r="B1" s="110"/>
      <c r="C1" s="110"/>
      <c r="D1" s="110"/>
      <c r="E1" s="110"/>
      <c r="F1" s="375"/>
      <c r="L1" s="8"/>
      <c r="X1" s="1"/>
      <c r="Y1" s="1"/>
      <c r="Z1" s="1"/>
      <c r="AA1" s="1"/>
      <c r="AB1" s="1"/>
      <c r="AC1" s="1"/>
    </row>
    <row r="2" spans="1:29" s="3" customFormat="1" ht="12.75" customHeight="1">
      <c r="B2" s="116"/>
      <c r="C2" s="116"/>
      <c r="D2" s="116"/>
      <c r="E2" s="115"/>
      <c r="V2" s="22"/>
      <c r="W2" s="22"/>
      <c r="X2" s="22"/>
      <c r="Y2" s="22"/>
      <c r="Z2" s="22"/>
      <c r="AA2" s="2"/>
      <c r="AC2" s="2"/>
    </row>
    <row r="3" spans="1:29" s="3" customFormat="1" ht="30">
      <c r="A3" s="112" t="s">
        <v>1199</v>
      </c>
      <c r="B3" s="116"/>
      <c r="C3" s="116"/>
      <c r="D3" s="116"/>
      <c r="E3" s="112"/>
      <c r="V3" s="22"/>
      <c r="W3" s="22"/>
      <c r="X3" s="22"/>
      <c r="Y3" s="22"/>
      <c r="Z3" s="22"/>
      <c r="AA3" s="2"/>
      <c r="AC3" s="2"/>
    </row>
    <row r="4" spans="1:29" s="116" customFormat="1">
      <c r="A4" s="116" t="s">
        <v>541</v>
      </c>
      <c r="B4" s="367">
        <v>23205</v>
      </c>
    </row>
    <row r="5" spans="1:29" s="116" customFormat="1">
      <c r="A5" s="116" t="s">
        <v>1273</v>
      </c>
      <c r="B5" s="367">
        <v>23500</v>
      </c>
    </row>
    <row r="6" spans="1:29" s="3" customFormat="1" ht="18" customHeight="1">
      <c r="A6" s="327">
        <v>43555</v>
      </c>
      <c r="B6" s="116"/>
      <c r="C6" s="116"/>
      <c r="D6" s="116"/>
      <c r="G6" s="721" t="s">
        <v>52</v>
      </c>
      <c r="H6" s="721"/>
      <c r="I6" s="721"/>
      <c r="J6" s="721"/>
      <c r="V6" s="22"/>
      <c r="W6" s="22"/>
      <c r="X6" s="720" t="s">
        <v>65</v>
      </c>
      <c r="Y6" s="720"/>
      <c r="Z6" s="720"/>
      <c r="AA6" s="720"/>
      <c r="AB6" s="2"/>
      <c r="AC6" s="2"/>
    </row>
    <row r="7" spans="1:29" s="4" customFormat="1">
      <c r="A7" s="409"/>
      <c r="B7" s="323" t="s">
        <v>34</v>
      </c>
      <c r="C7" s="324" t="s">
        <v>35</v>
      </c>
      <c r="D7" s="324" t="s">
        <v>36</v>
      </c>
      <c r="E7" s="324" t="s">
        <v>37</v>
      </c>
      <c r="F7" s="324" t="s">
        <v>38</v>
      </c>
      <c r="G7" s="324" t="s">
        <v>39</v>
      </c>
      <c r="H7" s="324" t="s">
        <v>40</v>
      </c>
      <c r="I7" s="324" t="s">
        <v>41</v>
      </c>
      <c r="J7" s="324" t="s">
        <v>42</v>
      </c>
      <c r="K7" s="324" t="s">
        <v>43</v>
      </c>
      <c r="L7" s="324" t="s">
        <v>44</v>
      </c>
      <c r="M7" s="324" t="s">
        <v>45</v>
      </c>
      <c r="N7" s="324" t="s">
        <v>46</v>
      </c>
      <c r="O7" s="324" t="s">
        <v>47</v>
      </c>
      <c r="P7" s="731" t="s">
        <v>500</v>
      </c>
      <c r="Q7" s="349" t="s">
        <v>516</v>
      </c>
      <c r="R7" s="349" t="s">
        <v>517</v>
      </c>
      <c r="S7" s="349" t="s">
        <v>519</v>
      </c>
      <c r="T7" s="349" t="s">
        <v>521</v>
      </c>
      <c r="U7" s="349" t="s">
        <v>523</v>
      </c>
      <c r="V7" s="350"/>
      <c r="W7" s="351"/>
      <c r="X7" s="351"/>
      <c r="Y7" s="351"/>
      <c r="Z7" s="351"/>
      <c r="AA7" s="351"/>
      <c r="AB7" s="351"/>
      <c r="AC7" s="352"/>
    </row>
    <row r="8" spans="1:29" ht="15.6">
      <c r="A8" s="410"/>
      <c r="B8" s="117">
        <f>'New Hire'!C6</f>
        <v>91999901</v>
      </c>
      <c r="C8" s="339">
        <f>'New Hire'!D6</f>
        <v>91999902</v>
      </c>
      <c r="D8" s="339">
        <f>'New Hire'!E6</f>
        <v>91999903</v>
      </c>
      <c r="E8" s="339">
        <f>'New Hire'!F6</f>
        <v>91999904</v>
      </c>
      <c r="F8" s="339">
        <f>'New Hire'!G6</f>
        <v>91999905</v>
      </c>
      <c r="G8" s="339">
        <f>'New Hire'!H6</f>
        <v>91999906</v>
      </c>
      <c r="H8" s="339">
        <f>'New Hire'!I6</f>
        <v>91999907</v>
      </c>
      <c r="I8" s="339">
        <f>'New Hire'!J6</f>
        <v>91999908</v>
      </c>
      <c r="J8" s="339">
        <f>'New Hire'!K6</f>
        <v>91999909</v>
      </c>
      <c r="K8" s="339">
        <f>'New Hire'!L6</f>
        <v>91999910</v>
      </c>
      <c r="L8" s="339">
        <f>'New Hire'!M6</f>
        <v>91999911</v>
      </c>
      <c r="M8" s="339">
        <f>'New Hire'!N6</f>
        <v>91999912</v>
      </c>
      <c r="N8" s="339">
        <f>'New Hire'!O6</f>
        <v>91999913</v>
      </c>
      <c r="O8" s="339">
        <f>'New Hire'!P6</f>
        <v>91999914</v>
      </c>
      <c r="P8" s="732"/>
      <c r="Q8" s="349" t="s">
        <v>515</v>
      </c>
      <c r="R8" s="349" t="s">
        <v>518</v>
      </c>
      <c r="S8" s="349" t="s">
        <v>520</v>
      </c>
      <c r="T8" s="349" t="s">
        <v>522</v>
      </c>
      <c r="U8" s="349" t="s">
        <v>524</v>
      </c>
      <c r="V8" s="47"/>
      <c r="W8" s="48"/>
      <c r="X8" s="20"/>
      <c r="Y8" s="20"/>
      <c r="Z8" s="20"/>
      <c r="AA8" s="20"/>
      <c r="AB8" s="20"/>
      <c r="AC8" s="15"/>
    </row>
    <row r="9" spans="1:29" ht="12.75" customHeight="1">
      <c r="A9" s="411" t="s">
        <v>63</v>
      </c>
      <c r="B9" s="23"/>
      <c r="C9" s="19"/>
      <c r="D9" s="19"/>
      <c r="E9" s="20"/>
      <c r="F9" s="19"/>
      <c r="G9" s="19"/>
      <c r="H9" s="21"/>
      <c r="I9" s="19"/>
      <c r="J9" s="19"/>
      <c r="K9" s="20"/>
      <c r="L9" s="20"/>
      <c r="M9" s="20"/>
      <c r="N9" s="20"/>
      <c r="O9" s="20"/>
      <c r="P9" s="342"/>
      <c r="Q9" s="20"/>
      <c r="R9" s="20"/>
      <c r="S9" s="20"/>
      <c r="T9" s="20"/>
      <c r="U9" s="20"/>
      <c r="V9" s="25"/>
      <c r="W9" s="26"/>
      <c r="X9" s="722" t="s">
        <v>608</v>
      </c>
      <c r="Y9" s="723"/>
      <c r="Z9" s="723"/>
      <c r="AA9" s="724"/>
      <c r="AB9" s="27"/>
      <c r="AC9" s="18"/>
    </row>
    <row r="10" spans="1:29">
      <c r="A10" s="424" t="s">
        <v>480</v>
      </c>
      <c r="B10" s="385">
        <v>43525</v>
      </c>
      <c r="C10" s="385">
        <v>43525</v>
      </c>
      <c r="D10" s="385">
        <v>43525</v>
      </c>
      <c r="E10" s="385">
        <v>43525</v>
      </c>
      <c r="F10" s="385">
        <v>43525</v>
      </c>
      <c r="G10" s="385">
        <v>43525</v>
      </c>
      <c r="H10" s="385">
        <v>43525</v>
      </c>
      <c r="I10" s="385">
        <v>43525</v>
      </c>
      <c r="J10" s="385">
        <v>43525</v>
      </c>
      <c r="K10" s="385">
        <v>43525</v>
      </c>
      <c r="L10" s="385">
        <v>43525</v>
      </c>
      <c r="M10" s="385">
        <v>43525</v>
      </c>
      <c r="N10" s="385">
        <v>43525</v>
      </c>
      <c r="O10" s="386">
        <v>43525</v>
      </c>
      <c r="P10" s="15"/>
      <c r="Q10" s="20"/>
      <c r="R10" s="20"/>
      <c r="S10" s="20"/>
      <c r="T10" s="20"/>
      <c r="U10" s="20"/>
      <c r="V10" s="28"/>
      <c r="W10" s="29"/>
      <c r="X10" s="725"/>
      <c r="Y10" s="726"/>
      <c r="Z10" s="726"/>
      <c r="AA10" s="727"/>
      <c r="AB10" s="30"/>
      <c r="AC10" s="15"/>
    </row>
    <row r="11" spans="1:29" ht="12.75" customHeight="1">
      <c r="A11" s="99" t="s">
        <v>491</v>
      </c>
      <c r="B11" s="387" t="str">
        <f>'New Hire'!C10</f>
        <v>1</v>
      </c>
      <c r="C11" s="388" t="str">
        <f>'New Hire'!D10</f>
        <v>P</v>
      </c>
      <c r="D11" s="388" t="str">
        <f>'New Hire'!E10</f>
        <v>3</v>
      </c>
      <c r="E11" s="388" t="str">
        <f>'New Hire'!F10</f>
        <v>3</v>
      </c>
      <c r="F11" s="388">
        <f>'New Hire'!G10</f>
        <v>4</v>
      </c>
      <c r="G11" s="388" t="str">
        <f>'New Hire'!H10</f>
        <v>C</v>
      </c>
      <c r="H11" s="388" t="str">
        <f>'New Hire'!I10</f>
        <v>I</v>
      </c>
      <c r="I11" s="388" t="str">
        <f>'New Hire'!J10</f>
        <v>S</v>
      </c>
      <c r="J11" s="388" t="str">
        <f>'New Hire'!K10</f>
        <v>P</v>
      </c>
      <c r="K11" s="388" t="str">
        <f>'New Hire'!L10</f>
        <v>1</v>
      </c>
      <c r="L11" s="388" t="str">
        <f>'New Hire'!M10</f>
        <v>1</v>
      </c>
      <c r="M11" s="388">
        <f>'New Hire'!N10</f>
        <v>3</v>
      </c>
      <c r="N11" s="388">
        <f>'New Hire'!O10</f>
        <v>3</v>
      </c>
      <c r="O11" s="389" t="str">
        <f>'New Hire'!P10</f>
        <v>C</v>
      </c>
      <c r="P11" s="15"/>
      <c r="Q11" s="20"/>
      <c r="R11" s="20"/>
      <c r="S11" s="20"/>
      <c r="T11" s="20"/>
      <c r="U11" s="20"/>
      <c r="V11" s="32"/>
      <c r="W11" s="20"/>
      <c r="X11" s="725"/>
      <c r="Y11" s="726"/>
      <c r="Z11" s="726"/>
      <c r="AA11" s="727"/>
      <c r="AB11" s="20"/>
      <c r="AC11" s="15"/>
    </row>
    <row r="12" spans="1:29" ht="12.75" customHeight="1">
      <c r="A12" s="99" t="s">
        <v>492</v>
      </c>
      <c r="B12" s="390" t="str">
        <f>'New Hire'!C11</f>
        <v>;P</v>
      </c>
      <c r="C12" s="391" t="str">
        <f>'New Hire'!D11</f>
        <v>;A</v>
      </c>
      <c r="D12" s="391" t="str">
        <f>'New Hire'!E11</f>
        <v>;E</v>
      </c>
      <c r="E12" s="391" t="str">
        <f>'New Hire'!F11</f>
        <v>;I</v>
      </c>
      <c r="F12" s="391" t="str">
        <f>'New Hire'!G11</f>
        <v>;P</v>
      </c>
      <c r="G12" s="391" t="str">
        <f>'New Hire'!H11</f>
        <v>;A</v>
      </c>
      <c r="H12" s="391" t="str">
        <f>'New Hire'!I11</f>
        <v>;A</v>
      </c>
      <c r="I12" s="391" t="str">
        <f>'New Hire'!J11</f>
        <v>;V</v>
      </c>
      <c r="J12" s="391" t="str">
        <f>'New Hire'!K11</f>
        <v>;P</v>
      </c>
      <c r="K12" s="391" t="str">
        <f>'New Hire'!L11</f>
        <v>;A</v>
      </c>
      <c r="L12" s="391" t="str">
        <f>'New Hire'!M11</f>
        <v>;I</v>
      </c>
      <c r="M12" s="391" t="str">
        <f>'New Hire'!N11</f>
        <v>;P</v>
      </c>
      <c r="N12" s="391" t="str">
        <f>'New Hire'!O11</f>
        <v>;I</v>
      </c>
      <c r="O12" s="392" t="str">
        <f>'New Hire'!P11</f>
        <v>;I</v>
      </c>
      <c r="P12" s="15"/>
      <c r="Q12" s="20"/>
      <c r="R12" s="20"/>
      <c r="S12" s="20"/>
      <c r="T12" s="20"/>
      <c r="U12" s="20"/>
      <c r="V12" s="32"/>
      <c r="W12" s="20"/>
      <c r="X12" s="728"/>
      <c r="Y12" s="729"/>
      <c r="Z12" s="729"/>
      <c r="AA12" s="730"/>
      <c r="AB12" s="20"/>
      <c r="AC12" s="15"/>
    </row>
    <row r="13" spans="1:29">
      <c r="A13" s="100" t="s">
        <v>477</v>
      </c>
      <c r="B13" s="394">
        <f>'New Hire'!C26</f>
        <v>100</v>
      </c>
      <c r="C13" s="338">
        <f>'New Hire'!D26</f>
        <v>50</v>
      </c>
      <c r="D13" s="338">
        <f>'New Hire'!E26</f>
        <v>100</v>
      </c>
      <c r="E13" s="338">
        <f>'New Hire'!F26</f>
        <v>100</v>
      </c>
      <c r="F13" s="338">
        <f>'New Hire'!G26</f>
        <v>100</v>
      </c>
      <c r="G13" s="338">
        <f>'New Hire'!H26</f>
        <v>100</v>
      </c>
      <c r="H13" s="338">
        <f>'New Hire'!I26</f>
        <v>50</v>
      </c>
      <c r="I13" s="338">
        <f>'New Hire'!J26</f>
        <v>100</v>
      </c>
      <c r="J13" s="338">
        <f>'New Hire'!K26</f>
        <v>50</v>
      </c>
      <c r="K13" s="338">
        <f>'New Hire'!L26</f>
        <v>100</v>
      </c>
      <c r="L13" s="338">
        <f>'New Hire'!M26</f>
        <v>100</v>
      </c>
      <c r="M13" s="338">
        <f>'New Hire'!N26</f>
        <v>100</v>
      </c>
      <c r="N13" s="338">
        <f>'New Hire'!O26</f>
        <v>100</v>
      </c>
      <c r="O13" s="395">
        <f>'New Hire'!P26</f>
        <v>100</v>
      </c>
      <c r="P13" s="15"/>
      <c r="Q13" s="20"/>
      <c r="R13" s="20"/>
      <c r="S13" s="20"/>
      <c r="T13" s="20"/>
      <c r="U13" s="20"/>
      <c r="V13" s="23"/>
      <c r="W13" s="19"/>
      <c r="X13" s="19"/>
      <c r="Y13" s="19"/>
      <c r="Z13" s="19"/>
      <c r="AA13" s="19"/>
      <c r="AB13" s="19"/>
      <c r="AC13" s="31"/>
    </row>
    <row r="14" spans="1:29">
      <c r="A14" s="99" t="s">
        <v>481</v>
      </c>
      <c r="B14" s="394">
        <f t="shared" ref="B14:O14" si="0">NETWORKDAYS(B10,$A$6)</f>
        <v>21</v>
      </c>
      <c r="C14" s="338">
        <f t="shared" si="0"/>
        <v>21</v>
      </c>
      <c r="D14" s="338">
        <f t="shared" si="0"/>
        <v>21</v>
      </c>
      <c r="E14" s="338">
        <f t="shared" si="0"/>
        <v>21</v>
      </c>
      <c r="F14" s="338">
        <f t="shared" si="0"/>
        <v>21</v>
      </c>
      <c r="G14" s="338">
        <f t="shared" si="0"/>
        <v>21</v>
      </c>
      <c r="H14" s="338">
        <f t="shared" si="0"/>
        <v>21</v>
      </c>
      <c r="I14" s="338">
        <f t="shared" si="0"/>
        <v>21</v>
      </c>
      <c r="J14" s="338">
        <f t="shared" si="0"/>
        <v>21</v>
      </c>
      <c r="K14" s="338">
        <f t="shared" si="0"/>
        <v>21</v>
      </c>
      <c r="L14" s="338">
        <f t="shared" si="0"/>
        <v>21</v>
      </c>
      <c r="M14" s="338">
        <f t="shared" si="0"/>
        <v>21</v>
      </c>
      <c r="N14" s="338">
        <f t="shared" si="0"/>
        <v>21</v>
      </c>
      <c r="O14" s="395">
        <f t="shared" si="0"/>
        <v>21</v>
      </c>
      <c r="P14" s="15"/>
      <c r="Q14" s="20"/>
      <c r="R14" s="20"/>
      <c r="S14" s="20"/>
      <c r="T14" s="20"/>
      <c r="U14" s="20"/>
      <c r="V14" s="23"/>
      <c r="W14" s="19"/>
      <c r="X14" s="19"/>
      <c r="Y14" s="19"/>
      <c r="Z14" s="19"/>
      <c r="AA14" s="19"/>
      <c r="AB14" s="19"/>
      <c r="AC14" s="31"/>
    </row>
    <row r="15" spans="1:29">
      <c r="A15" s="424" t="s">
        <v>639</v>
      </c>
      <c r="B15" s="338">
        <f>NETWORKDAYS(EOMONTH($A$6,-1)+1,EOMONTH($A$6,0))</f>
        <v>21</v>
      </c>
      <c r="C15" s="338">
        <f t="shared" ref="C15:O15" si="1">NETWORKDAYS(EOMONTH($A$6,-1)+1,EOMONTH($A$6,0))</f>
        <v>21</v>
      </c>
      <c r="D15" s="338">
        <f t="shared" si="1"/>
        <v>21</v>
      </c>
      <c r="E15" s="338">
        <f t="shared" si="1"/>
        <v>21</v>
      </c>
      <c r="F15" s="338">
        <f t="shared" si="1"/>
        <v>21</v>
      </c>
      <c r="G15" s="338">
        <f t="shared" si="1"/>
        <v>21</v>
      </c>
      <c r="H15" s="338">
        <f t="shared" si="1"/>
        <v>21</v>
      </c>
      <c r="I15" s="338">
        <f t="shared" si="1"/>
        <v>21</v>
      </c>
      <c r="J15" s="338">
        <f t="shared" si="1"/>
        <v>21</v>
      </c>
      <c r="K15" s="338">
        <f t="shared" si="1"/>
        <v>21</v>
      </c>
      <c r="L15" s="338">
        <f t="shared" si="1"/>
        <v>21</v>
      </c>
      <c r="M15" s="338">
        <f t="shared" si="1"/>
        <v>21</v>
      </c>
      <c r="N15" s="338">
        <f t="shared" si="1"/>
        <v>21</v>
      </c>
      <c r="O15" s="395">
        <f t="shared" si="1"/>
        <v>21</v>
      </c>
      <c r="P15" s="15"/>
      <c r="Q15" s="20"/>
      <c r="R15" s="20"/>
      <c r="S15" s="20"/>
      <c r="T15" s="20"/>
      <c r="U15" s="20"/>
      <c r="V15" s="23"/>
      <c r="W15" s="19"/>
      <c r="X15" s="19"/>
      <c r="Y15" s="19"/>
      <c r="Z15" s="19"/>
      <c r="AA15" s="19"/>
      <c r="AB15" s="19"/>
      <c r="AC15" s="31"/>
    </row>
    <row r="16" spans="1:29">
      <c r="A16" s="99" t="s">
        <v>513</v>
      </c>
      <c r="B16" s="396">
        <f t="shared" ref="B16:O16" si="2">_xlfn.DAYS($A$6,B10)+1</f>
        <v>31</v>
      </c>
      <c r="C16" s="335">
        <f t="shared" si="2"/>
        <v>31</v>
      </c>
      <c r="D16" s="335">
        <f t="shared" si="2"/>
        <v>31</v>
      </c>
      <c r="E16" s="335">
        <f t="shared" si="2"/>
        <v>31</v>
      </c>
      <c r="F16" s="335">
        <f t="shared" si="2"/>
        <v>31</v>
      </c>
      <c r="G16" s="335">
        <f t="shared" si="2"/>
        <v>31</v>
      </c>
      <c r="H16" s="335">
        <f t="shared" si="2"/>
        <v>31</v>
      </c>
      <c r="I16" s="335">
        <f t="shared" si="2"/>
        <v>31</v>
      </c>
      <c r="J16" s="335">
        <f t="shared" si="2"/>
        <v>31</v>
      </c>
      <c r="K16" s="335">
        <f t="shared" si="2"/>
        <v>31</v>
      </c>
      <c r="L16" s="335">
        <f t="shared" si="2"/>
        <v>31</v>
      </c>
      <c r="M16" s="335">
        <f t="shared" si="2"/>
        <v>31</v>
      </c>
      <c r="N16" s="335">
        <f t="shared" si="2"/>
        <v>31</v>
      </c>
      <c r="O16" s="397">
        <f t="shared" si="2"/>
        <v>31</v>
      </c>
      <c r="P16" s="15"/>
      <c r="Q16" s="20"/>
      <c r="R16" s="20"/>
      <c r="S16" s="20"/>
      <c r="T16" s="20"/>
      <c r="U16" s="20"/>
      <c r="V16" s="23"/>
      <c r="W16" s="19"/>
      <c r="X16" s="19"/>
      <c r="Y16" s="19"/>
      <c r="Z16" s="19"/>
      <c r="AA16" s="19"/>
      <c r="AB16" s="19"/>
      <c r="AC16" s="31"/>
    </row>
    <row r="17" spans="1:29">
      <c r="A17" s="99" t="s">
        <v>533</v>
      </c>
      <c r="B17" s="336">
        <f>DATEDIF('New Hire'!C41,$A$6,"Y")</f>
        <v>9</v>
      </c>
      <c r="C17" s="337">
        <f>DATEDIF('New Hire'!D41,$A$6,"Y")</f>
        <v>13</v>
      </c>
      <c r="D17" s="337">
        <f>DATEDIF('New Hire'!E41,$A$6,"Y")</f>
        <v>0</v>
      </c>
      <c r="E17" s="337">
        <f>DATEDIF('New Hire'!F41,$A$6,"Y")</f>
        <v>3</v>
      </c>
      <c r="F17" s="337">
        <f>DATEDIF('New Hire'!G41,$A$6,"Y")</f>
        <v>9</v>
      </c>
      <c r="G17" s="337">
        <f>DATEDIF('New Hire'!H41,$A$6,"Y")</f>
        <v>0</v>
      </c>
      <c r="H17" s="337">
        <f>DATEDIF('New Hire'!I41,$A$6,"Y")</f>
        <v>14</v>
      </c>
      <c r="I17" s="337">
        <f>DATEDIF('New Hire'!J41,$A$6,"Y")</f>
        <v>0</v>
      </c>
      <c r="J17" s="337">
        <f>DATEDIF('New Hire'!K41,$A$6,"Y")</f>
        <v>0</v>
      </c>
      <c r="K17" s="337">
        <f>DATEDIF('New Hire'!L41,$A$6,"Y")</f>
        <v>9</v>
      </c>
      <c r="L17" s="337">
        <f>DATEDIF('New Hire'!M41,$A$6,"Y")</f>
        <v>4</v>
      </c>
      <c r="M17" s="337">
        <f>DATEDIF('New Hire'!N41,$A$6,"Y")</f>
        <v>0</v>
      </c>
      <c r="N17" s="337">
        <f>DATEDIF('New Hire'!O41,$A$6,"Y")</f>
        <v>11</v>
      </c>
      <c r="O17" s="393">
        <f>DATEDIF('New Hire'!P41,$A$6,"Y")</f>
        <v>0</v>
      </c>
      <c r="P17" s="15"/>
      <c r="Q17" s="20"/>
      <c r="R17" s="20"/>
      <c r="S17" s="20"/>
      <c r="T17" s="20"/>
      <c r="U17" s="20"/>
      <c r="V17" s="23"/>
      <c r="W17" s="19"/>
      <c r="X17" s="19"/>
      <c r="Y17" s="19"/>
      <c r="Z17" s="19"/>
      <c r="AA17" s="19"/>
      <c r="AB17" s="19"/>
      <c r="AC17" s="31"/>
    </row>
    <row r="18" spans="1:29">
      <c r="A18" s="99" t="s">
        <v>566</v>
      </c>
      <c r="B18" s="336" t="str">
        <f>'New Hire'!C54</f>
        <v>A</v>
      </c>
      <c r="C18" s="337" t="str">
        <f>'New Hire'!D54</f>
        <v>A</v>
      </c>
      <c r="D18" s="337" t="str">
        <f>'New Hire'!E54</f>
        <v>A</v>
      </c>
      <c r="E18" s="337" t="str">
        <f>'New Hire'!F54</f>
        <v>B</v>
      </c>
      <c r="F18" s="337" t="str">
        <f>'New Hire'!G54</f>
        <v>B</v>
      </c>
      <c r="G18" s="337" t="str">
        <f>'New Hire'!H54</f>
        <v>C</v>
      </c>
      <c r="H18" s="337" t="str">
        <f>'New Hire'!I54</f>
        <v>D</v>
      </c>
      <c r="I18" s="337" t="str">
        <f>'New Hire'!J54</f>
        <v>D</v>
      </c>
      <c r="J18" s="337" t="str">
        <f>'New Hire'!K54</f>
        <v>A</v>
      </c>
      <c r="K18" s="337" t="str">
        <f>'New Hire'!L54</f>
        <v>A</v>
      </c>
      <c r="L18" s="337" t="str">
        <f>'New Hire'!M54</f>
        <v>A</v>
      </c>
      <c r="M18" s="337" t="str">
        <f>'New Hire'!N54</f>
        <v>A</v>
      </c>
      <c r="N18" s="337" t="str">
        <f>'New Hire'!O54</f>
        <v>A</v>
      </c>
      <c r="O18" s="393" t="str">
        <f>'New Hire'!P54</f>
        <v>B</v>
      </c>
      <c r="P18" s="15"/>
      <c r="Q18" s="20"/>
      <c r="R18" s="20"/>
      <c r="S18" s="20"/>
      <c r="T18" s="20"/>
      <c r="U18" s="20"/>
      <c r="V18" s="23"/>
      <c r="W18" s="19"/>
      <c r="X18" s="19"/>
      <c r="Y18" s="19"/>
      <c r="Z18" s="19"/>
      <c r="AA18" s="19"/>
      <c r="AB18" s="19"/>
      <c r="AC18" s="31"/>
    </row>
    <row r="19" spans="1:29">
      <c r="A19" s="98" t="s">
        <v>107</v>
      </c>
      <c r="B19" s="91">
        <v>1</v>
      </c>
      <c r="C19" s="89">
        <v>2</v>
      </c>
      <c r="D19" s="89">
        <v>1</v>
      </c>
      <c r="E19" s="89">
        <v>3</v>
      </c>
      <c r="F19" s="89">
        <v>0</v>
      </c>
      <c r="G19" s="89">
        <v>0</v>
      </c>
      <c r="H19" s="89">
        <v>2</v>
      </c>
      <c r="I19" s="89">
        <v>0</v>
      </c>
      <c r="J19" s="89">
        <v>0</v>
      </c>
      <c r="K19" s="89">
        <v>0</v>
      </c>
      <c r="L19" s="89">
        <v>0</v>
      </c>
      <c r="M19" s="89">
        <v>0</v>
      </c>
      <c r="N19" s="89">
        <v>0</v>
      </c>
      <c r="O19" s="398">
        <v>0</v>
      </c>
      <c r="P19" s="15"/>
      <c r="Q19" s="20"/>
      <c r="R19" s="20"/>
      <c r="S19" s="20"/>
      <c r="T19" s="20"/>
      <c r="U19" s="20"/>
      <c r="V19" s="23"/>
      <c r="W19" s="19"/>
      <c r="X19" s="19"/>
      <c r="Y19" s="19"/>
      <c r="Z19" s="19"/>
      <c r="AA19" s="19"/>
      <c r="AB19" s="19"/>
      <c r="AC19" s="31"/>
    </row>
    <row r="20" spans="1:29" ht="15.6">
      <c r="A20" s="97" t="s">
        <v>113</v>
      </c>
      <c r="B20" s="325">
        <f t="shared" ref="B20:O20" si="3">3600000*B19</f>
        <v>3600000</v>
      </c>
      <c r="C20" s="90">
        <f t="shared" si="3"/>
        <v>7200000</v>
      </c>
      <c r="D20" s="90">
        <f t="shared" si="3"/>
        <v>3600000</v>
      </c>
      <c r="E20" s="90">
        <f t="shared" si="3"/>
        <v>10800000</v>
      </c>
      <c r="F20" s="90">
        <f t="shared" si="3"/>
        <v>0</v>
      </c>
      <c r="G20" s="90">
        <f t="shared" si="3"/>
        <v>0</v>
      </c>
      <c r="H20" s="90">
        <f t="shared" si="3"/>
        <v>7200000</v>
      </c>
      <c r="I20" s="90">
        <f t="shared" si="3"/>
        <v>0</v>
      </c>
      <c r="J20" s="90">
        <f t="shared" si="3"/>
        <v>0</v>
      </c>
      <c r="K20" s="90">
        <f t="shared" si="3"/>
        <v>0</v>
      </c>
      <c r="L20" s="90">
        <f t="shared" si="3"/>
        <v>0</v>
      </c>
      <c r="M20" s="90">
        <f t="shared" si="3"/>
        <v>0</v>
      </c>
      <c r="N20" s="90">
        <f t="shared" si="3"/>
        <v>0</v>
      </c>
      <c r="O20" s="399">
        <f t="shared" si="3"/>
        <v>0</v>
      </c>
      <c r="P20" s="15"/>
      <c r="Q20" s="20"/>
      <c r="R20" s="20"/>
      <c r="S20" s="20"/>
      <c r="T20" s="20"/>
      <c r="U20" s="20"/>
      <c r="V20" s="40"/>
      <c r="W20" s="41"/>
      <c r="X20" s="19"/>
      <c r="Y20" s="19"/>
      <c r="Z20" s="19"/>
      <c r="AA20" s="19"/>
      <c r="AB20" s="16"/>
      <c r="AC20" s="17"/>
    </row>
    <row r="21" spans="1:29">
      <c r="A21" s="97" t="s">
        <v>114</v>
      </c>
      <c r="B21" s="326">
        <v>9000000</v>
      </c>
      <c r="C21" s="90">
        <v>9000000</v>
      </c>
      <c r="D21" s="90">
        <v>9000000</v>
      </c>
      <c r="E21" s="90">
        <v>9000000</v>
      </c>
      <c r="F21" s="90">
        <v>9000000</v>
      </c>
      <c r="G21" s="90">
        <v>9000000</v>
      </c>
      <c r="H21" s="90">
        <v>9000000</v>
      </c>
      <c r="I21" s="90">
        <v>9000000</v>
      </c>
      <c r="J21" s="90">
        <v>9000000</v>
      </c>
      <c r="K21" s="90">
        <v>9000000</v>
      </c>
      <c r="L21" s="90">
        <v>9000000</v>
      </c>
      <c r="M21" s="90">
        <v>9000000</v>
      </c>
      <c r="N21" s="90">
        <v>9000000</v>
      </c>
      <c r="O21" s="399">
        <v>9000000</v>
      </c>
      <c r="P21" s="15"/>
      <c r="Q21" s="20"/>
      <c r="R21" s="20"/>
      <c r="S21" s="20"/>
      <c r="T21" s="20"/>
      <c r="U21" s="20"/>
      <c r="V21" s="50"/>
      <c r="W21" s="44"/>
      <c r="X21" s="44"/>
      <c r="Y21" s="44"/>
      <c r="Z21" s="44"/>
      <c r="AA21" s="44"/>
      <c r="AB21" s="44"/>
      <c r="AC21" s="51"/>
    </row>
    <row r="22" spans="1:29" ht="15.6">
      <c r="A22" s="413" t="s">
        <v>53</v>
      </c>
      <c r="B22" s="64"/>
      <c r="C22" s="65"/>
      <c r="D22" s="65"/>
      <c r="E22" s="66"/>
      <c r="F22" s="65"/>
      <c r="G22" s="65"/>
      <c r="H22" s="21"/>
      <c r="I22" s="65"/>
      <c r="J22" s="65"/>
      <c r="K22" s="66"/>
      <c r="L22" s="66"/>
      <c r="M22" s="66"/>
      <c r="N22" s="66"/>
      <c r="O22" s="382"/>
      <c r="P22" s="382"/>
      <c r="Q22" s="66"/>
      <c r="R22" s="66"/>
      <c r="S22" s="66"/>
      <c r="T22" s="66"/>
      <c r="U22" s="66"/>
      <c r="V22" s="118" t="s">
        <v>57</v>
      </c>
      <c r="W22" s="119" t="s">
        <v>67</v>
      </c>
      <c r="X22" s="119" t="s">
        <v>69</v>
      </c>
      <c r="Y22" s="119" t="s">
        <v>70</v>
      </c>
      <c r="Z22" s="119" t="s">
        <v>56</v>
      </c>
      <c r="AA22" s="119" t="s">
        <v>54</v>
      </c>
      <c r="AB22" s="119" t="s">
        <v>58</v>
      </c>
      <c r="AC22" s="120" t="s">
        <v>59</v>
      </c>
    </row>
    <row r="23" spans="1:29">
      <c r="A23" s="414" t="s">
        <v>55</v>
      </c>
      <c r="B23" s="64"/>
      <c r="C23" s="65"/>
      <c r="D23" s="65"/>
      <c r="E23" s="66"/>
      <c r="F23" s="65"/>
      <c r="G23" s="65"/>
      <c r="H23" s="21"/>
      <c r="I23" s="65"/>
      <c r="J23" s="65"/>
      <c r="K23" s="66"/>
      <c r="L23" s="66"/>
      <c r="M23" s="66"/>
      <c r="N23" s="66"/>
      <c r="O23" s="382"/>
      <c r="P23" s="382"/>
      <c r="Q23" s="66"/>
      <c r="R23" s="66"/>
      <c r="S23" s="66"/>
      <c r="T23" s="66"/>
      <c r="U23" s="66"/>
      <c r="V23" s="356" t="s">
        <v>2</v>
      </c>
      <c r="W23" s="357">
        <v>91999901</v>
      </c>
      <c r="X23" s="358" t="s">
        <v>507</v>
      </c>
      <c r="Y23" s="358" t="s">
        <v>508</v>
      </c>
      <c r="Z23" s="359" t="s">
        <v>509</v>
      </c>
      <c r="AA23" s="360">
        <v>8000000</v>
      </c>
      <c r="AB23" s="358"/>
      <c r="AC23" s="361"/>
    </row>
    <row r="24" spans="1:29">
      <c r="A24" s="445" t="s">
        <v>479</v>
      </c>
      <c r="B24" s="332">
        <f t="shared" ref="B24:O24" si="4">IF(OR(B18="A",B18="B"),IF(B11&lt;&gt;"C",ROUND(B127*B91,0),0),IF(B11&lt;&gt;"C",ROUND(B141*$B$4,0),0))</f>
        <v>5000000</v>
      </c>
      <c r="C24" s="332">
        <f t="shared" si="4"/>
        <v>4500000</v>
      </c>
      <c r="D24" s="332">
        <f t="shared" si="4"/>
        <v>7000000</v>
      </c>
      <c r="E24" s="332">
        <f t="shared" si="4"/>
        <v>9000000</v>
      </c>
      <c r="F24" s="332">
        <f t="shared" si="4"/>
        <v>14000000</v>
      </c>
      <c r="G24" s="332">
        <f t="shared" si="4"/>
        <v>0</v>
      </c>
      <c r="H24" s="332">
        <f t="shared" si="4"/>
        <v>109063500</v>
      </c>
      <c r="I24" s="332">
        <f t="shared" si="4"/>
        <v>85858500</v>
      </c>
      <c r="J24" s="332">
        <f t="shared" si="4"/>
        <v>50000000</v>
      </c>
      <c r="K24" s="332">
        <f t="shared" si="4"/>
        <v>8000000</v>
      </c>
      <c r="L24" s="332">
        <f t="shared" si="4"/>
        <v>90000000</v>
      </c>
      <c r="M24" s="332">
        <f t="shared" si="4"/>
        <v>5000000</v>
      </c>
      <c r="N24" s="332">
        <f t="shared" si="4"/>
        <v>6500000</v>
      </c>
      <c r="O24" s="332">
        <f t="shared" si="4"/>
        <v>0</v>
      </c>
      <c r="P24" s="355">
        <f t="shared" ref="P24:P34" si="5">SUM(B24:O24)</f>
        <v>393922000</v>
      </c>
      <c r="Q24" s="90" t="s">
        <v>525</v>
      </c>
      <c r="R24" s="90" t="s">
        <v>525</v>
      </c>
      <c r="S24" s="90" t="s">
        <v>525</v>
      </c>
      <c r="T24" s="90" t="s">
        <v>525</v>
      </c>
      <c r="U24" s="90" t="s">
        <v>525</v>
      </c>
      <c r="V24" s="356" t="s">
        <v>2</v>
      </c>
      <c r="W24" s="357">
        <v>91999902</v>
      </c>
      <c r="X24" s="358" t="s">
        <v>507</v>
      </c>
      <c r="Y24" s="358" t="s">
        <v>508</v>
      </c>
      <c r="Z24" s="359" t="s">
        <v>509</v>
      </c>
      <c r="AA24" s="360">
        <v>8000000</v>
      </c>
      <c r="AB24" s="358"/>
      <c r="AC24" s="361"/>
    </row>
    <row r="25" spans="1:29">
      <c r="A25" s="451" t="s">
        <v>496</v>
      </c>
      <c r="B25" s="332">
        <f t="shared" ref="B25:O25" si="6">IF(OR(B18="A",B18="B"),ROUND(B129*B91,0),ROUND(B129*B91*$B$4,0))</f>
        <v>500000</v>
      </c>
      <c r="C25" s="332">
        <f t="shared" si="6"/>
        <v>450000</v>
      </c>
      <c r="D25" s="332">
        <f t="shared" si="6"/>
        <v>700000</v>
      </c>
      <c r="E25" s="332">
        <f t="shared" si="6"/>
        <v>0</v>
      </c>
      <c r="F25" s="332">
        <f t="shared" si="6"/>
        <v>0</v>
      </c>
      <c r="G25" s="332">
        <f t="shared" si="6"/>
        <v>0</v>
      </c>
      <c r="H25" s="332">
        <f t="shared" si="6"/>
        <v>11602500</v>
      </c>
      <c r="I25" s="332">
        <f t="shared" si="6"/>
        <v>0</v>
      </c>
      <c r="J25" s="332">
        <f t="shared" si="6"/>
        <v>5000000</v>
      </c>
      <c r="K25" s="332">
        <f t="shared" si="6"/>
        <v>800000</v>
      </c>
      <c r="L25" s="332">
        <f t="shared" si="6"/>
        <v>0</v>
      </c>
      <c r="M25" s="332">
        <f t="shared" si="6"/>
        <v>1000000</v>
      </c>
      <c r="N25" s="332">
        <f t="shared" si="6"/>
        <v>1000000</v>
      </c>
      <c r="O25" s="400">
        <f t="shared" si="6"/>
        <v>0</v>
      </c>
      <c r="P25" s="355">
        <f t="shared" si="5"/>
        <v>21052500</v>
      </c>
      <c r="Q25" s="379" t="s">
        <v>525</v>
      </c>
      <c r="R25" s="379" t="s">
        <v>525</v>
      </c>
      <c r="S25" s="379" t="s">
        <v>525</v>
      </c>
      <c r="T25" s="379" t="s">
        <v>525</v>
      </c>
      <c r="U25" s="90" t="s">
        <v>525</v>
      </c>
      <c r="V25" s="356" t="s">
        <v>2</v>
      </c>
      <c r="W25" s="357">
        <v>91999904</v>
      </c>
      <c r="X25" s="358" t="s">
        <v>511</v>
      </c>
      <c r="Y25" s="358" t="s">
        <v>508</v>
      </c>
      <c r="Z25" s="359" t="s">
        <v>509</v>
      </c>
      <c r="AA25" s="360">
        <v>8000000</v>
      </c>
      <c r="AB25" s="358"/>
      <c r="AC25" s="361"/>
    </row>
    <row r="26" spans="1:29">
      <c r="A26" s="451" t="s">
        <v>569</v>
      </c>
      <c r="B26" s="332">
        <f t="shared" ref="B26:O26" si="7">IF(OR(B18="A",B18="B"),ROUND(B130*B91,0),ROUND(B130*B91*$B$4,0))</f>
        <v>1000000</v>
      </c>
      <c r="C26" s="332">
        <f t="shared" si="7"/>
        <v>900000</v>
      </c>
      <c r="D26" s="332">
        <f t="shared" si="7"/>
        <v>1400000</v>
      </c>
      <c r="E26" s="332">
        <f t="shared" si="7"/>
        <v>0</v>
      </c>
      <c r="F26" s="332">
        <f t="shared" si="7"/>
        <v>0</v>
      </c>
      <c r="G26" s="332">
        <f t="shared" si="7"/>
        <v>0</v>
      </c>
      <c r="H26" s="332">
        <f t="shared" si="7"/>
        <v>23205000</v>
      </c>
      <c r="I26" s="332">
        <f t="shared" si="7"/>
        <v>0</v>
      </c>
      <c r="J26" s="332">
        <f t="shared" si="7"/>
        <v>10000000</v>
      </c>
      <c r="K26" s="332">
        <f t="shared" si="7"/>
        <v>1600000</v>
      </c>
      <c r="L26" s="332">
        <f t="shared" si="7"/>
        <v>0</v>
      </c>
      <c r="M26" s="332">
        <f t="shared" si="7"/>
        <v>1500000</v>
      </c>
      <c r="N26" s="332">
        <f t="shared" si="7"/>
        <v>1500000</v>
      </c>
      <c r="O26" s="400">
        <f t="shared" si="7"/>
        <v>0</v>
      </c>
      <c r="P26" s="355">
        <f t="shared" si="5"/>
        <v>41105000</v>
      </c>
      <c r="Q26" s="379" t="s">
        <v>525</v>
      </c>
      <c r="R26" s="379" t="s">
        <v>525</v>
      </c>
      <c r="S26" s="379" t="s">
        <v>525</v>
      </c>
      <c r="T26" s="379" t="s">
        <v>525</v>
      </c>
      <c r="U26" s="90" t="s">
        <v>525</v>
      </c>
      <c r="V26" s="356" t="s">
        <v>2</v>
      </c>
      <c r="W26" s="357">
        <v>91999905</v>
      </c>
      <c r="X26" s="358" t="s">
        <v>507</v>
      </c>
      <c r="Y26" s="358" t="s">
        <v>508</v>
      </c>
      <c r="Z26" s="359" t="s">
        <v>509</v>
      </c>
      <c r="AA26" s="360">
        <v>8000000</v>
      </c>
      <c r="AB26" s="358"/>
      <c r="AC26" s="361"/>
    </row>
    <row r="27" spans="1:29">
      <c r="A27" s="412" t="s">
        <v>427</v>
      </c>
      <c r="B27" s="331"/>
      <c r="C27" s="332"/>
      <c r="D27" s="332"/>
      <c r="E27" s="340"/>
      <c r="F27" s="332"/>
      <c r="G27" s="332">
        <f>ROUND(B4*G128,0)*AC83+ROUND(B4*G128,0)*AC84</f>
        <v>23205000</v>
      </c>
      <c r="H27" s="332"/>
      <c r="I27" s="332"/>
      <c r="J27" s="332"/>
      <c r="K27" s="340"/>
      <c r="L27" s="340"/>
      <c r="M27" s="340"/>
      <c r="N27" s="340"/>
      <c r="O27" s="401">
        <f>ROUND(AC85*O128,0)+ROUND(AC86*O128,0)</f>
        <v>4000000</v>
      </c>
      <c r="P27" s="355">
        <f t="shared" si="5"/>
        <v>27205000</v>
      </c>
      <c r="Q27" s="379" t="s">
        <v>525</v>
      </c>
      <c r="R27" s="379" t="s">
        <v>525</v>
      </c>
      <c r="S27" s="379"/>
      <c r="T27" s="379"/>
      <c r="U27" s="379"/>
      <c r="V27" s="356" t="s">
        <v>2</v>
      </c>
      <c r="W27" s="357">
        <v>91999906</v>
      </c>
      <c r="X27" s="358" t="s">
        <v>507</v>
      </c>
      <c r="Y27" s="358" t="s">
        <v>508</v>
      </c>
      <c r="Z27" s="359" t="s">
        <v>509</v>
      </c>
      <c r="AA27" s="360">
        <v>8000000</v>
      </c>
      <c r="AB27" s="358"/>
      <c r="AC27" s="361"/>
    </row>
    <row r="28" spans="1:29">
      <c r="A28" s="412" t="s">
        <v>588</v>
      </c>
      <c r="B28" s="331"/>
      <c r="C28" s="332"/>
      <c r="D28" s="332"/>
      <c r="E28" s="332">
        <f>AA48</f>
        <v>80000000</v>
      </c>
      <c r="F28" s="332"/>
      <c r="G28" s="332">
        <f>AA49*B4</f>
        <v>162435000</v>
      </c>
      <c r="H28" s="332"/>
      <c r="I28" s="332"/>
      <c r="J28" s="332"/>
      <c r="K28" s="332"/>
      <c r="L28" s="332"/>
      <c r="M28" s="332"/>
      <c r="N28" s="332"/>
      <c r="O28" s="400"/>
      <c r="P28" s="355">
        <f t="shared" si="5"/>
        <v>242435000</v>
      </c>
      <c r="Q28" s="379" t="s">
        <v>525</v>
      </c>
      <c r="R28" s="379" t="s">
        <v>525</v>
      </c>
      <c r="S28" s="379"/>
      <c r="T28" s="379"/>
      <c r="U28" s="380"/>
      <c r="V28" s="356" t="s">
        <v>2</v>
      </c>
      <c r="W28" s="357">
        <v>91999901</v>
      </c>
      <c r="X28" s="358" t="s">
        <v>507</v>
      </c>
      <c r="Y28" s="358" t="s">
        <v>508</v>
      </c>
      <c r="Z28" s="359" t="s">
        <v>537</v>
      </c>
      <c r="AA28" s="360">
        <v>7000000</v>
      </c>
      <c r="AB28" s="358"/>
      <c r="AC28" s="361"/>
    </row>
    <row r="29" spans="1:29">
      <c r="A29" s="415" t="s">
        <v>615</v>
      </c>
      <c r="B29" s="331"/>
      <c r="C29" s="332"/>
      <c r="D29" s="332"/>
      <c r="E29" s="332"/>
      <c r="F29" s="332"/>
      <c r="G29" s="332"/>
      <c r="H29" s="332">
        <f>AA50*B4</f>
        <v>-2320500</v>
      </c>
      <c r="I29" s="332">
        <f>AA51*B4</f>
        <v>3480750</v>
      </c>
      <c r="J29" s="332"/>
      <c r="K29" s="340"/>
      <c r="L29" s="340"/>
      <c r="M29" s="340"/>
      <c r="N29" s="340"/>
      <c r="O29" s="401"/>
      <c r="P29" s="355">
        <f t="shared" si="5"/>
        <v>1160250</v>
      </c>
      <c r="Q29" s="379" t="s">
        <v>525</v>
      </c>
      <c r="R29" s="379" t="s">
        <v>525</v>
      </c>
      <c r="S29" s="380"/>
      <c r="T29" s="380"/>
      <c r="U29" s="380"/>
      <c r="V29" s="356" t="s">
        <v>2</v>
      </c>
      <c r="W29" s="357">
        <v>91999902</v>
      </c>
      <c r="X29" s="358" t="s">
        <v>507</v>
      </c>
      <c r="Y29" s="358" t="s">
        <v>508</v>
      </c>
      <c r="Z29" s="359" t="s">
        <v>537</v>
      </c>
      <c r="AA29" s="360">
        <v>7000000</v>
      </c>
      <c r="AB29" s="358"/>
      <c r="AC29" s="361"/>
    </row>
    <row r="30" spans="1:29">
      <c r="A30" s="415" t="s">
        <v>616</v>
      </c>
      <c r="B30" s="331"/>
      <c r="C30" s="332"/>
      <c r="D30" s="332"/>
      <c r="E30" s="340"/>
      <c r="F30" s="332"/>
      <c r="G30" s="332"/>
      <c r="H30" s="332">
        <f>AA52*B4</f>
        <v>-4641000</v>
      </c>
      <c r="I30" s="332">
        <f>AA53*B4</f>
        <v>6961500</v>
      </c>
      <c r="J30" s="332"/>
      <c r="K30" s="332"/>
      <c r="L30" s="340"/>
      <c r="M30" s="340"/>
      <c r="N30" s="340"/>
      <c r="O30" s="401"/>
      <c r="P30" s="355">
        <f t="shared" si="5"/>
        <v>2320500</v>
      </c>
      <c r="Q30" s="379" t="s">
        <v>525</v>
      </c>
      <c r="R30" s="379" t="s">
        <v>525</v>
      </c>
      <c r="S30" s="380"/>
      <c r="T30" s="380"/>
      <c r="U30" s="380"/>
      <c r="V30" s="356" t="s">
        <v>2</v>
      </c>
      <c r="W30" s="357">
        <v>91999904</v>
      </c>
      <c r="X30" s="358" t="s">
        <v>511</v>
      </c>
      <c r="Y30" s="358" t="s">
        <v>508</v>
      </c>
      <c r="Z30" s="359" t="s">
        <v>537</v>
      </c>
      <c r="AA30" s="360">
        <v>7000000</v>
      </c>
      <c r="AB30" s="358"/>
      <c r="AC30" s="361"/>
    </row>
    <row r="31" spans="1:29">
      <c r="A31" s="415" t="s">
        <v>589</v>
      </c>
      <c r="B31" s="331">
        <f>AA54</f>
        <v>10000000</v>
      </c>
      <c r="C31" s="332"/>
      <c r="D31" s="332"/>
      <c r="E31" s="340"/>
      <c r="F31" s="332"/>
      <c r="G31" s="332"/>
      <c r="H31" s="332">
        <f>AA55*B4</f>
        <v>23205000</v>
      </c>
      <c r="I31" s="332"/>
      <c r="J31" s="332"/>
      <c r="K31" s="340"/>
      <c r="L31" s="340"/>
      <c r="M31" s="340"/>
      <c r="N31" s="340"/>
      <c r="O31" s="401"/>
      <c r="P31" s="355">
        <f t="shared" si="5"/>
        <v>33205000</v>
      </c>
      <c r="Q31" s="379" t="s">
        <v>525</v>
      </c>
      <c r="R31" s="379" t="s">
        <v>525</v>
      </c>
      <c r="S31" s="380"/>
      <c r="T31" s="380"/>
      <c r="U31" s="380"/>
      <c r="V31" s="356" t="s">
        <v>2</v>
      </c>
      <c r="W31" s="357">
        <v>91999905</v>
      </c>
      <c r="X31" s="358" t="s">
        <v>507</v>
      </c>
      <c r="Y31" s="358" t="s">
        <v>508</v>
      </c>
      <c r="Z31" s="359" t="s">
        <v>537</v>
      </c>
      <c r="AA31" s="360">
        <v>7000000</v>
      </c>
      <c r="AB31" s="358"/>
      <c r="AC31" s="361"/>
    </row>
    <row r="32" spans="1:29">
      <c r="A32" s="412" t="s">
        <v>590</v>
      </c>
      <c r="B32" s="331"/>
      <c r="C32" s="332">
        <f>AA56</f>
        <v>10000000</v>
      </c>
      <c r="D32" s="332"/>
      <c r="E32" s="332"/>
      <c r="F32" s="332">
        <f>AA57*B4</f>
        <v>11602500</v>
      </c>
      <c r="G32" s="332"/>
      <c r="H32" s="332"/>
      <c r="I32" s="332"/>
      <c r="J32" s="332"/>
      <c r="K32" s="332"/>
      <c r="L32" s="332"/>
      <c r="M32" s="332"/>
      <c r="N32" s="332"/>
      <c r="O32" s="400"/>
      <c r="P32" s="355">
        <f t="shared" si="5"/>
        <v>21602500</v>
      </c>
      <c r="Q32" s="379" t="s">
        <v>525</v>
      </c>
      <c r="R32" s="379" t="s">
        <v>525</v>
      </c>
      <c r="S32" s="379"/>
      <c r="T32" s="379"/>
      <c r="U32" s="380"/>
      <c r="V32" s="356" t="s">
        <v>2</v>
      </c>
      <c r="W32" s="357">
        <v>91999906</v>
      </c>
      <c r="X32" s="358" t="s">
        <v>507</v>
      </c>
      <c r="Y32" s="358" t="s">
        <v>508</v>
      </c>
      <c r="Z32" s="359" t="s">
        <v>537</v>
      </c>
      <c r="AA32" s="360">
        <v>7000000</v>
      </c>
      <c r="AB32" s="358"/>
      <c r="AC32" s="361"/>
    </row>
    <row r="33" spans="1:29">
      <c r="A33" s="412" t="s">
        <v>611</v>
      </c>
      <c r="B33" s="331"/>
      <c r="C33" s="332"/>
      <c r="D33" s="332"/>
      <c r="E33" s="332"/>
      <c r="F33" s="332"/>
      <c r="G33" s="332"/>
      <c r="H33" s="332"/>
      <c r="I33" s="332">
        <f>AA58*B4</f>
        <v>116025000</v>
      </c>
      <c r="J33" s="332"/>
      <c r="K33" s="332"/>
      <c r="L33" s="332"/>
      <c r="M33" s="332"/>
      <c r="N33" s="332"/>
      <c r="O33" s="400"/>
      <c r="P33" s="355">
        <f t="shared" si="5"/>
        <v>116025000</v>
      </c>
      <c r="Q33" s="379" t="s">
        <v>525</v>
      </c>
      <c r="R33" s="379" t="s">
        <v>525</v>
      </c>
      <c r="S33" s="379"/>
      <c r="T33" s="379"/>
      <c r="U33" s="380"/>
      <c r="V33" s="356" t="s">
        <v>2</v>
      </c>
      <c r="W33" s="357">
        <v>91999907</v>
      </c>
      <c r="X33" s="358" t="s">
        <v>603</v>
      </c>
      <c r="Y33" s="358" t="s">
        <v>508</v>
      </c>
      <c r="Z33" s="359">
        <v>7065</v>
      </c>
      <c r="AA33" s="360">
        <v>100</v>
      </c>
      <c r="AB33" s="447" t="s">
        <v>542</v>
      </c>
      <c r="AC33" s="448"/>
    </row>
    <row r="34" spans="1:29">
      <c r="A34" s="412" t="s">
        <v>591</v>
      </c>
      <c r="B34" s="331"/>
      <c r="C34" s="332"/>
      <c r="D34" s="332"/>
      <c r="E34" s="332"/>
      <c r="F34" s="332"/>
      <c r="G34" s="332"/>
      <c r="H34" s="332">
        <f>AA59*B4</f>
        <v>4641000</v>
      </c>
      <c r="I34" s="332"/>
      <c r="J34" s="332">
        <f>AA60</f>
        <v>6000000</v>
      </c>
      <c r="K34" s="332"/>
      <c r="L34" s="332"/>
      <c r="M34" s="332"/>
      <c r="N34" s="332"/>
      <c r="O34" s="400"/>
      <c r="P34" s="355">
        <f t="shared" si="5"/>
        <v>10641000</v>
      </c>
      <c r="Q34" s="379" t="s">
        <v>525</v>
      </c>
      <c r="R34" s="379" t="s">
        <v>525</v>
      </c>
      <c r="S34" s="90"/>
      <c r="T34" s="90"/>
      <c r="U34" s="90"/>
      <c r="V34" s="356" t="s">
        <v>2</v>
      </c>
      <c r="W34" s="357">
        <v>91999908</v>
      </c>
      <c r="X34" s="358" t="s">
        <v>507</v>
      </c>
      <c r="Y34" s="358" t="s">
        <v>508</v>
      </c>
      <c r="Z34" s="359">
        <v>7065</v>
      </c>
      <c r="AA34" s="360">
        <v>100</v>
      </c>
      <c r="AB34" s="447" t="s">
        <v>542</v>
      </c>
      <c r="AC34" s="448"/>
    </row>
    <row r="35" spans="1:29">
      <c r="A35" s="412"/>
      <c r="B35" s="331"/>
      <c r="C35" s="332"/>
      <c r="D35" s="332"/>
      <c r="E35" s="332"/>
      <c r="F35" s="332"/>
      <c r="G35" s="332"/>
      <c r="H35" s="332"/>
      <c r="I35" s="332"/>
      <c r="J35" s="332"/>
      <c r="K35" s="332"/>
      <c r="L35" s="332"/>
      <c r="M35" s="332"/>
      <c r="N35" s="332"/>
      <c r="O35" s="400"/>
      <c r="P35" s="355"/>
      <c r="Q35" s="90"/>
      <c r="R35" s="90"/>
      <c r="S35" s="90"/>
      <c r="T35" s="90"/>
      <c r="U35" s="90"/>
      <c r="V35" s="356" t="s">
        <v>2</v>
      </c>
      <c r="W35" s="357">
        <v>91999907</v>
      </c>
      <c r="X35" s="358" t="s">
        <v>603</v>
      </c>
      <c r="Y35" s="358" t="s">
        <v>508</v>
      </c>
      <c r="Z35" s="359">
        <v>7070</v>
      </c>
      <c r="AA35" s="360">
        <v>200</v>
      </c>
      <c r="AB35" s="447" t="s">
        <v>542</v>
      </c>
      <c r="AC35" s="448"/>
    </row>
    <row r="36" spans="1:29">
      <c r="A36" s="416" t="s">
        <v>582</v>
      </c>
      <c r="B36" s="331"/>
      <c r="C36" s="332"/>
      <c r="D36" s="332"/>
      <c r="E36" s="340"/>
      <c r="F36" s="332"/>
      <c r="G36" s="332"/>
      <c r="H36" s="332"/>
      <c r="I36" s="332"/>
      <c r="J36" s="332"/>
      <c r="K36" s="340"/>
      <c r="L36" s="340"/>
      <c r="M36" s="340"/>
      <c r="N36" s="340"/>
      <c r="O36" s="401"/>
      <c r="P36" s="355"/>
      <c r="Q36" s="380"/>
      <c r="R36" s="380"/>
      <c r="S36" s="380"/>
      <c r="T36" s="380"/>
      <c r="U36" s="380"/>
      <c r="V36" s="356" t="s">
        <v>2</v>
      </c>
      <c r="W36" s="357">
        <v>91999908</v>
      </c>
      <c r="X36" s="358" t="s">
        <v>507</v>
      </c>
      <c r="Y36" s="358" t="s">
        <v>508</v>
      </c>
      <c r="Z36" s="359">
        <v>7070</v>
      </c>
      <c r="AA36" s="360">
        <v>200</v>
      </c>
      <c r="AB36" s="447" t="s">
        <v>542</v>
      </c>
      <c r="AC36" s="448"/>
    </row>
    <row r="37" spans="1:29">
      <c r="A37" s="415" t="s">
        <v>720</v>
      </c>
      <c r="B37" s="331"/>
      <c r="C37" s="332"/>
      <c r="D37" s="332">
        <f>AA63</f>
        <v>10000000</v>
      </c>
      <c r="E37" s="340"/>
      <c r="F37" s="332"/>
      <c r="G37" s="332"/>
      <c r="H37" s="332"/>
      <c r="I37" s="332">
        <f>AA64*B4</f>
        <v>1289153775</v>
      </c>
      <c r="J37" s="332"/>
      <c r="K37" s="340"/>
      <c r="L37" s="340"/>
      <c r="M37" s="340"/>
      <c r="N37" s="340"/>
      <c r="O37" s="401"/>
      <c r="P37" s="355">
        <f>SUM(B37:O37)</f>
        <v>1299153775</v>
      </c>
      <c r="Q37" s="379" t="s">
        <v>597</v>
      </c>
      <c r="R37" s="379"/>
      <c r="S37" s="379"/>
      <c r="T37" s="379"/>
      <c r="U37" s="379"/>
      <c r="V37" s="356" t="s">
        <v>2</v>
      </c>
      <c r="W37" s="357">
        <v>91999901</v>
      </c>
      <c r="X37" s="358" t="s">
        <v>507</v>
      </c>
      <c r="Y37" s="358" t="s">
        <v>508</v>
      </c>
      <c r="Z37" s="359">
        <v>9140</v>
      </c>
      <c r="AA37" s="360"/>
      <c r="AB37" s="750">
        <v>7.5999999999999998E-2</v>
      </c>
      <c r="AC37" s="448"/>
    </row>
    <row r="38" spans="1:29">
      <c r="A38" s="451" t="s">
        <v>890</v>
      </c>
      <c r="B38" s="332"/>
      <c r="C38" s="332"/>
      <c r="D38" s="332"/>
      <c r="E38" s="332"/>
      <c r="F38" s="332"/>
      <c r="G38" s="332"/>
      <c r="H38" s="332"/>
      <c r="I38" s="368">
        <f>ROUND(AA40*B4,0)</f>
        <v>3480750</v>
      </c>
      <c r="J38" s="368"/>
      <c r="K38" s="368">
        <f>AA41</f>
        <v>4000000</v>
      </c>
      <c r="L38" s="332"/>
      <c r="M38" s="332"/>
      <c r="N38" s="332"/>
      <c r="O38" s="400"/>
      <c r="P38" s="355">
        <f t="shared" ref="P38" si="8">SUM(B38:O38)-J38</f>
        <v>7480750</v>
      </c>
      <c r="Q38" s="379" t="s">
        <v>525</v>
      </c>
      <c r="R38" s="379"/>
      <c r="S38" s="379"/>
      <c r="T38" s="379"/>
      <c r="U38" s="379"/>
      <c r="V38" s="356" t="s">
        <v>2</v>
      </c>
      <c r="W38" s="357">
        <v>91999907</v>
      </c>
      <c r="X38" s="358" t="s">
        <v>507</v>
      </c>
      <c r="Y38" s="358" t="s">
        <v>508</v>
      </c>
      <c r="Z38" s="359">
        <v>9140</v>
      </c>
      <c r="AA38" s="360"/>
      <c r="AB38" s="750">
        <v>0.56000000000000005</v>
      </c>
      <c r="AC38" s="448"/>
    </row>
    <row r="39" spans="1:29">
      <c r="A39" s="412"/>
      <c r="B39" s="331"/>
      <c r="C39" s="332"/>
      <c r="D39" s="332"/>
      <c r="E39" s="340"/>
      <c r="F39" s="332"/>
      <c r="G39" s="332"/>
      <c r="H39" s="332"/>
      <c r="I39" s="332"/>
      <c r="J39" s="332"/>
      <c r="K39" s="340"/>
      <c r="L39" s="340"/>
      <c r="M39" s="340"/>
      <c r="N39" s="340"/>
      <c r="O39" s="401"/>
      <c r="P39" s="355"/>
      <c r="Q39" s="379"/>
      <c r="R39" s="379"/>
      <c r="S39" s="379"/>
      <c r="T39" s="379"/>
      <c r="U39" s="379"/>
      <c r="V39" s="356" t="s">
        <v>773</v>
      </c>
      <c r="W39" s="357">
        <v>91999905</v>
      </c>
      <c r="X39" s="358" t="s">
        <v>774</v>
      </c>
      <c r="Y39" s="358" t="s">
        <v>508</v>
      </c>
      <c r="Z39" s="359" t="s">
        <v>775</v>
      </c>
      <c r="AA39" s="360"/>
      <c r="AB39" s="447">
        <v>1</v>
      </c>
      <c r="AC39" s="448"/>
    </row>
    <row r="40" spans="1:29">
      <c r="A40" s="416" t="s">
        <v>572</v>
      </c>
      <c r="B40" s="331"/>
      <c r="C40" s="332"/>
      <c r="D40" s="332"/>
      <c r="E40" s="340"/>
      <c r="F40" s="332"/>
      <c r="G40" s="332"/>
      <c r="H40" s="332"/>
      <c r="I40" s="332"/>
      <c r="J40" s="332"/>
      <c r="K40" s="340"/>
      <c r="L40" s="340"/>
      <c r="M40" s="340"/>
      <c r="N40" s="340"/>
      <c r="O40" s="401"/>
      <c r="P40" s="344"/>
      <c r="Q40" s="380"/>
      <c r="R40" s="379"/>
      <c r="S40" s="380"/>
      <c r="T40" s="380"/>
      <c r="U40" s="380"/>
      <c r="V40" s="49" t="s">
        <v>2</v>
      </c>
      <c r="W40" s="39">
        <v>91999908</v>
      </c>
      <c r="X40" s="7" t="s">
        <v>603</v>
      </c>
      <c r="Y40" s="80" t="s">
        <v>901</v>
      </c>
      <c r="Z40" s="60">
        <v>3601</v>
      </c>
      <c r="AA40" s="332">
        <v>150</v>
      </c>
      <c r="AB40" s="7" t="s">
        <v>604</v>
      </c>
      <c r="AC40" s="12"/>
    </row>
    <row r="41" spans="1:29">
      <c r="A41" s="445" t="s">
        <v>512</v>
      </c>
      <c r="B41" s="332">
        <f>IF(OR(B18="A",B18="B"),B94,ROUND(B94*B13%,0))</f>
        <v>679452</v>
      </c>
      <c r="C41" s="332">
        <f>IF(OR(C18="A",C18="B"),C94,ROUND(C94*C13%,0))</f>
        <v>679452</v>
      </c>
      <c r="D41" s="332"/>
      <c r="E41" s="332">
        <f>IF(OR(E18="A",E18="B"),E94,ROUND(E94*E13%,0))</f>
        <v>679452</v>
      </c>
      <c r="F41" s="332">
        <f>IF(OR(F18="A",F18="B"),F94,ROUND(F94*F13%,0))</f>
        <v>679452</v>
      </c>
      <c r="G41" s="332">
        <f>IF(OR(G18="A",G18="B"),G94,ROUND(G94*G13%,0))</f>
        <v>0</v>
      </c>
      <c r="H41" s="332">
        <f>IF(OR(H18="A",H18="B"),H94,ROUND(H94*H13%,0))</f>
        <v>339726</v>
      </c>
      <c r="I41" s="332"/>
      <c r="J41" s="332"/>
      <c r="K41" s="340"/>
      <c r="L41" s="340"/>
      <c r="M41" s="340"/>
      <c r="N41" s="340"/>
      <c r="O41" s="401"/>
      <c r="P41" s="345">
        <f>SUM(B41:O41)</f>
        <v>3057534</v>
      </c>
      <c r="Q41" s="379"/>
      <c r="R41" s="379" t="s">
        <v>612</v>
      </c>
      <c r="S41" s="379"/>
      <c r="T41" s="379"/>
      <c r="U41" s="379"/>
      <c r="V41" s="49" t="s">
        <v>2</v>
      </c>
      <c r="W41" s="39">
        <v>91999910</v>
      </c>
      <c r="X41" s="7" t="s">
        <v>507</v>
      </c>
      <c r="Y41" s="80" t="s">
        <v>901</v>
      </c>
      <c r="Z41" s="60">
        <v>3601</v>
      </c>
      <c r="AA41" s="332">
        <v>4000000</v>
      </c>
      <c r="AB41" s="7"/>
      <c r="AC41" s="12"/>
    </row>
    <row r="42" spans="1:29">
      <c r="A42" s="445" t="s">
        <v>534</v>
      </c>
      <c r="B42" s="332">
        <f t="shared" ref="B42:G42" si="9">IF(OR(B18="A",B18="B"),ROUND(2369796/365*B16,0),ROUND(ROUND(2466.55*$B$4,0)/365*B16,0))*B19*IF(B17&lt;3,0,IF(B17&lt;6,50%,100%))</f>
        <v>201270</v>
      </c>
      <c r="C42" s="332">
        <f t="shared" si="9"/>
        <v>402540</v>
      </c>
      <c r="D42" s="332">
        <f t="shared" si="9"/>
        <v>0</v>
      </c>
      <c r="E42" s="332">
        <f t="shared" si="9"/>
        <v>301905</v>
      </c>
      <c r="F42" s="332">
        <f t="shared" si="9"/>
        <v>0</v>
      </c>
      <c r="G42" s="332">
        <f t="shared" si="9"/>
        <v>0</v>
      </c>
      <c r="H42" s="332">
        <f>ROUND(ROUND(2466.55*$B$4,0)/365*H16,0)*IF(H17&lt;3,0,IF(H17&lt;6,50%,100%))+ROUND(ROUND(863.29*$B$4,0)/365*H16,0)*IF(H17&lt;3,0,IF(H17&lt;6,50%,100%))</f>
        <v>6562568</v>
      </c>
      <c r="I42" s="332">
        <f t="shared" ref="I42:O42" si="10">IF(OR(I18="A",I18="B"),ROUND(2369796/365*I16,0),ROUND(ROUND(2466.55*$B$4,0)/365*I16,0))*I19*IF(I17&lt;3,0,IF(I17&lt;6,50%,100%))</f>
        <v>0</v>
      </c>
      <c r="J42" s="332">
        <f t="shared" si="10"/>
        <v>0</v>
      </c>
      <c r="K42" s="332">
        <f t="shared" si="10"/>
        <v>0</v>
      </c>
      <c r="L42" s="332">
        <f t="shared" si="10"/>
        <v>0</v>
      </c>
      <c r="M42" s="332">
        <f t="shared" si="10"/>
        <v>0</v>
      </c>
      <c r="N42" s="332">
        <f t="shared" si="10"/>
        <v>0</v>
      </c>
      <c r="O42" s="400">
        <f t="shared" si="10"/>
        <v>0</v>
      </c>
      <c r="P42" s="345">
        <f>SUM(B42:O42)</f>
        <v>7468283</v>
      </c>
      <c r="Q42" s="379"/>
      <c r="R42" s="379" t="s">
        <v>612</v>
      </c>
      <c r="S42" s="379"/>
      <c r="T42" s="379"/>
      <c r="U42" s="379"/>
      <c r="V42" s="32"/>
      <c r="W42" s="44"/>
      <c r="X42" s="13"/>
      <c r="Y42" s="13"/>
      <c r="Z42" s="13"/>
      <c r="AA42" s="13"/>
      <c r="AB42" s="13"/>
      <c r="AC42" s="18"/>
    </row>
    <row r="43" spans="1:29">
      <c r="O43" s="408"/>
      <c r="P43" s="591"/>
      <c r="V43" s="32"/>
      <c r="W43" s="44"/>
      <c r="X43" s="13"/>
      <c r="Y43" s="13"/>
      <c r="Z43" s="13"/>
      <c r="AA43" s="13"/>
      <c r="AB43" s="13"/>
      <c r="AC43" s="18"/>
    </row>
    <row r="44" spans="1:29">
      <c r="A44" s="450" t="s">
        <v>61</v>
      </c>
      <c r="B44" s="365">
        <f t="shared" ref="B44:O44" si="11">SUM(B24:B35)</f>
        <v>16500000</v>
      </c>
      <c r="C44" s="366">
        <f t="shared" si="11"/>
        <v>15850000</v>
      </c>
      <c r="D44" s="366">
        <f t="shared" si="11"/>
        <v>9100000</v>
      </c>
      <c r="E44" s="366">
        <f t="shared" si="11"/>
        <v>89000000</v>
      </c>
      <c r="F44" s="366">
        <f t="shared" si="11"/>
        <v>25602500</v>
      </c>
      <c r="G44" s="366">
        <f t="shared" si="11"/>
        <v>185640000</v>
      </c>
      <c r="H44" s="366">
        <f t="shared" si="11"/>
        <v>164755500</v>
      </c>
      <c r="I44" s="366">
        <f t="shared" si="11"/>
        <v>212325750</v>
      </c>
      <c r="J44" s="366">
        <f t="shared" si="11"/>
        <v>71000000</v>
      </c>
      <c r="K44" s="366">
        <f t="shared" si="11"/>
        <v>10400000</v>
      </c>
      <c r="L44" s="366">
        <f t="shared" si="11"/>
        <v>90000000</v>
      </c>
      <c r="M44" s="366">
        <f t="shared" si="11"/>
        <v>7500000</v>
      </c>
      <c r="N44" s="366">
        <f t="shared" si="11"/>
        <v>9000000</v>
      </c>
      <c r="O44" s="540">
        <f t="shared" si="11"/>
        <v>4000000</v>
      </c>
      <c r="P44" s="344">
        <f>SUM(B44:O44)</f>
        <v>910673750</v>
      </c>
      <c r="Q44" s="379"/>
      <c r="R44" s="379"/>
      <c r="S44" s="379"/>
      <c r="T44" s="379"/>
      <c r="U44" s="379"/>
      <c r="V44" s="32"/>
      <c r="W44" s="44"/>
      <c r="X44" s="13"/>
      <c r="Y44" s="13"/>
      <c r="Z44" s="13"/>
      <c r="AA44" s="13"/>
      <c r="AB44" s="13"/>
      <c r="AC44" s="18"/>
    </row>
    <row r="45" spans="1:29">
      <c r="A45" s="418"/>
      <c r="B45" s="331"/>
      <c r="C45" s="332"/>
      <c r="D45" s="332"/>
      <c r="E45" s="340"/>
      <c r="F45" s="332"/>
      <c r="G45" s="332"/>
      <c r="H45" s="332"/>
      <c r="I45" s="332"/>
      <c r="J45" s="332"/>
      <c r="K45" s="340"/>
      <c r="L45" s="340"/>
      <c r="M45" s="340"/>
      <c r="N45" s="340"/>
      <c r="O45" s="401"/>
      <c r="P45" s="344"/>
      <c r="Q45" s="379"/>
      <c r="R45" s="379"/>
      <c r="S45" s="379"/>
      <c r="T45" s="379"/>
      <c r="U45" s="379"/>
      <c r="V45" s="32"/>
      <c r="W45" s="44"/>
      <c r="X45" s="13"/>
      <c r="Y45" s="13"/>
      <c r="Z45" s="13"/>
      <c r="AA45" s="13"/>
      <c r="AB45" s="13"/>
      <c r="AC45" s="18"/>
    </row>
    <row r="46" spans="1:29" ht="15.6">
      <c r="A46" s="419" t="s">
        <v>60</v>
      </c>
      <c r="B46" s="369"/>
      <c r="C46" s="362"/>
      <c r="D46" s="362"/>
      <c r="E46" s="370"/>
      <c r="F46" s="362"/>
      <c r="G46" s="362"/>
      <c r="H46" s="362"/>
      <c r="I46" s="362"/>
      <c r="J46" s="362"/>
      <c r="K46" s="370"/>
      <c r="L46" s="370"/>
      <c r="M46" s="370"/>
      <c r="N46" s="370"/>
      <c r="O46" s="383"/>
      <c r="P46" s="355"/>
      <c r="Q46" s="379"/>
      <c r="R46" s="379"/>
      <c r="S46" s="379"/>
      <c r="T46" s="379"/>
      <c r="U46" s="379"/>
      <c r="V46" s="42"/>
      <c r="W46" s="43"/>
      <c r="X46" s="733" t="s">
        <v>90</v>
      </c>
      <c r="Y46" s="733"/>
      <c r="Z46" s="733"/>
      <c r="AA46" s="733"/>
      <c r="AB46" s="13"/>
      <c r="AC46" s="18"/>
    </row>
    <row r="47" spans="1:29">
      <c r="A47" s="414" t="s">
        <v>55</v>
      </c>
      <c r="B47" s="369"/>
      <c r="C47" s="362"/>
      <c r="D47" s="362"/>
      <c r="E47" s="370"/>
      <c r="F47" s="362"/>
      <c r="G47" s="362"/>
      <c r="H47" s="362"/>
      <c r="I47" s="362"/>
      <c r="J47" s="362"/>
      <c r="K47" s="370"/>
      <c r="L47" s="370"/>
      <c r="M47" s="370"/>
      <c r="N47" s="370"/>
      <c r="O47" s="383"/>
      <c r="P47" s="355"/>
      <c r="Q47" s="379"/>
      <c r="R47" s="379"/>
      <c r="S47" s="379"/>
      <c r="T47" s="379"/>
      <c r="U47" s="379"/>
      <c r="V47" s="24" t="s">
        <v>57</v>
      </c>
      <c r="W47" s="37" t="s">
        <v>67</v>
      </c>
      <c r="X47" s="37" t="s">
        <v>69</v>
      </c>
      <c r="Y47" s="37" t="s">
        <v>70</v>
      </c>
      <c r="Z47" s="37" t="s">
        <v>56</v>
      </c>
      <c r="AA47" s="37" t="s">
        <v>71</v>
      </c>
      <c r="AB47" s="37" t="s">
        <v>58</v>
      </c>
      <c r="AC47" s="38" t="s">
        <v>59</v>
      </c>
    </row>
    <row r="48" spans="1:29">
      <c r="A48" s="424" t="s">
        <v>576</v>
      </c>
      <c r="B48" s="332">
        <f>ROUND(MIN(B101,29800000)*'New Hire'!C56,0)</f>
        <v>520000</v>
      </c>
      <c r="C48" s="332">
        <f>ROUND(MIN(C101,29800000)*'New Hire'!D56,0)</f>
        <v>468000</v>
      </c>
      <c r="D48" s="332">
        <f>ROUND(MIN(D101,29800000)*'New Hire'!E56,0)</f>
        <v>0</v>
      </c>
      <c r="E48" s="332">
        <f>ROUND(MIN(E101,29800000)*'New Hire'!F56,0)</f>
        <v>720000</v>
      </c>
      <c r="F48" s="332">
        <f>ROUND(MIN(F101,29800000)*'New Hire'!G56,0)</f>
        <v>0</v>
      </c>
      <c r="G48" s="332">
        <f>ROUND(MIN(G101,29800000)*'New Hire'!H56,0)</f>
        <v>0</v>
      </c>
      <c r="H48" s="332">
        <f>ROUND(MIN(H101,29800000)*'New Hire'!I56,0)</f>
        <v>0</v>
      </c>
      <c r="I48" s="332">
        <f>ROUND(MIN(I101,29800000)*'New Hire'!J56,0)</f>
        <v>0</v>
      </c>
      <c r="J48" s="332">
        <f>ROUND(MIN(J101,29800000)*'New Hire'!K56,0)</f>
        <v>2384000</v>
      </c>
      <c r="K48" s="332">
        <f>ROUND(MIN(K101,29800000)*'New Hire'!L56,0)</f>
        <v>0</v>
      </c>
      <c r="L48" s="332">
        <f>ROUND(MIN(L101,29800000)*'New Hire'!M56,0)</f>
        <v>2384000</v>
      </c>
      <c r="M48" s="332">
        <f>ROUND(MIN(M101,29800000)*'New Hire'!N56,0)</f>
        <v>0</v>
      </c>
      <c r="N48" s="332">
        <f>ROUND(MIN(N101,29800000)*'New Hire'!O56,0)</f>
        <v>0</v>
      </c>
      <c r="O48" s="400">
        <f>ROUND(MIN(O101,29800000)*'New Hire'!P56,0)</f>
        <v>0</v>
      </c>
      <c r="P48" s="355">
        <f t="shared" ref="P48:P56" si="12">SUM(B48:O48)</f>
        <v>6476000</v>
      </c>
      <c r="Q48" s="379"/>
      <c r="R48" s="379"/>
      <c r="S48" s="379"/>
      <c r="T48" s="379"/>
      <c r="U48" s="379"/>
      <c r="V48" s="49" t="s">
        <v>0</v>
      </c>
      <c r="W48" s="39">
        <v>91999904</v>
      </c>
      <c r="X48" s="80" t="s">
        <v>609</v>
      </c>
      <c r="Y48" s="80" t="s">
        <v>609</v>
      </c>
      <c r="Z48" s="60">
        <v>3012</v>
      </c>
      <c r="AA48" s="332">
        <v>80000000</v>
      </c>
      <c r="AB48" s="80"/>
      <c r="AC48" s="11"/>
    </row>
    <row r="49" spans="1:29">
      <c r="A49" s="445" t="s">
        <v>577</v>
      </c>
      <c r="B49" s="332">
        <f>ROUND(MIN(B101,83600000)*'New Hire'!C59,0)</f>
        <v>65000</v>
      </c>
      <c r="C49" s="332">
        <f>ROUND(MIN(C101,83600000)*'New Hire'!D59,0)</f>
        <v>58500</v>
      </c>
      <c r="D49" s="332">
        <f>ROUND(MIN(D101,83600000)*'New Hire'!E59,0)</f>
        <v>91000</v>
      </c>
      <c r="E49" s="332">
        <f>ROUND(MIN(E101,83600000)*'New Hire'!F59,0)</f>
        <v>90000</v>
      </c>
      <c r="F49" s="332">
        <f>ROUND(MIN(F101,83600000)*'New Hire'!G59,0)</f>
        <v>0</v>
      </c>
      <c r="G49" s="332">
        <f>ROUND(MIN(G101,83600000)*'New Hire'!H59,0)</f>
        <v>0</v>
      </c>
      <c r="H49" s="332">
        <f>ROUND(MIN(H101,83600000)*'New Hire'!I59,0)</f>
        <v>0</v>
      </c>
      <c r="I49" s="332">
        <f>ROUND(MIN(I101,83600000)*'New Hire'!J59,0)</f>
        <v>0</v>
      </c>
      <c r="J49" s="332">
        <f>ROUND(MIN(J101,83600000)*'New Hire'!K59,0)</f>
        <v>650000</v>
      </c>
      <c r="K49" s="332">
        <f>ROUND(MIN(K101,83600000)*'New Hire'!L59,0)</f>
        <v>0</v>
      </c>
      <c r="L49" s="332">
        <f>ROUND(MIN(L101,83600000)*'New Hire'!M59,0)</f>
        <v>836000</v>
      </c>
      <c r="M49" s="332">
        <f>ROUND(MIN(M101,83600000)*'New Hire'!N59,0)</f>
        <v>0</v>
      </c>
      <c r="N49" s="332">
        <f>ROUND(MIN(N101,83600000)*'New Hire'!O59,0)</f>
        <v>0</v>
      </c>
      <c r="O49" s="400">
        <f>ROUND(MIN(O101,83600000)*'New Hire'!P59,0)</f>
        <v>0</v>
      </c>
      <c r="P49" s="355">
        <f t="shared" si="12"/>
        <v>1790500</v>
      </c>
      <c r="Q49" s="379"/>
      <c r="R49" s="379"/>
      <c r="S49" s="379"/>
      <c r="T49" s="379"/>
      <c r="U49" s="379"/>
      <c r="V49" s="49" t="s">
        <v>0</v>
      </c>
      <c r="W49" s="39">
        <v>91999906</v>
      </c>
      <c r="X49" s="80" t="s">
        <v>609</v>
      </c>
      <c r="Y49" s="80" t="s">
        <v>609</v>
      </c>
      <c r="Z49" s="60">
        <v>3012</v>
      </c>
      <c r="AA49" s="332">
        <v>7000</v>
      </c>
      <c r="AB49" s="80" t="s">
        <v>610</v>
      </c>
      <c r="AC49" s="11"/>
    </row>
    <row r="50" spans="1:29">
      <c r="A50" s="445" t="s">
        <v>578</v>
      </c>
      <c r="B50" s="332">
        <f>ROUND(MIN(B101,29800000)*'New Hire'!C62,0)</f>
        <v>97500</v>
      </c>
      <c r="C50" s="332">
        <f>ROUND(MIN(C101,29800000)*'New Hire'!D62,0)</f>
        <v>87750</v>
      </c>
      <c r="D50" s="332">
        <f>ROUND(MIN(D101,29800000)*'New Hire'!E62,0)</f>
        <v>136500</v>
      </c>
      <c r="E50" s="332">
        <f>ROUND(MIN(E101,29800000)*'New Hire'!F62,0)</f>
        <v>135000</v>
      </c>
      <c r="F50" s="332">
        <f>ROUND(MIN(F101,29800000)*'New Hire'!G62,0)</f>
        <v>0</v>
      </c>
      <c r="G50" s="332">
        <f>ROUND(MIN(G101,29800000)*'New Hire'!H62,0)</f>
        <v>0</v>
      </c>
      <c r="H50" s="332">
        <f>ROUND(MIN(H101,29800000)*'New Hire'!I62,0)</f>
        <v>447000</v>
      </c>
      <c r="I50" s="332">
        <f>ROUND(MIN(I101,29800000)*'New Hire'!J62,0)</f>
        <v>447000</v>
      </c>
      <c r="J50" s="332">
        <f>ROUND(MIN(J101,29800000)*'New Hire'!K62,0)</f>
        <v>447000</v>
      </c>
      <c r="K50" s="332">
        <f>ROUND(MIN(K101,29800000)*'New Hire'!L62,0)</f>
        <v>0</v>
      </c>
      <c r="L50" s="332">
        <f>ROUND(MIN(L101,29800000)*'New Hire'!M62,0)</f>
        <v>447000</v>
      </c>
      <c r="M50" s="332">
        <f>ROUND(MIN(M101,29800000)*'New Hire'!N62,0)</f>
        <v>0</v>
      </c>
      <c r="N50" s="332">
        <f>ROUND(MIN(N101,29800000)*'New Hire'!O62,0)</f>
        <v>0</v>
      </c>
      <c r="O50" s="400">
        <f>ROUND(MIN(O101,29800000)*'New Hire'!P62,0)</f>
        <v>0</v>
      </c>
      <c r="P50" s="355">
        <f t="shared" si="12"/>
        <v>2244750</v>
      </c>
      <c r="Q50" s="379"/>
      <c r="R50" s="379"/>
      <c r="S50" s="379"/>
      <c r="T50" s="379"/>
      <c r="U50" s="379"/>
      <c r="V50" s="49" t="s">
        <v>0</v>
      </c>
      <c r="W50" s="39">
        <v>91999907</v>
      </c>
      <c r="X50" s="80" t="s">
        <v>609</v>
      </c>
      <c r="Y50" s="80" t="s">
        <v>609</v>
      </c>
      <c r="Z50" s="60">
        <v>3015</v>
      </c>
      <c r="AA50" s="332">
        <v>-100</v>
      </c>
      <c r="AB50" s="80" t="s">
        <v>610</v>
      </c>
      <c r="AC50" s="11"/>
    </row>
    <row r="51" spans="1:29">
      <c r="A51" s="412" t="s">
        <v>900</v>
      </c>
      <c r="B51" s="331">
        <f>B108</f>
        <v>204911</v>
      </c>
      <c r="C51" s="332">
        <f>C108</f>
        <v>0</v>
      </c>
      <c r="D51" s="332">
        <f t="shared" ref="D51:O51" si="13">D108</f>
        <v>0</v>
      </c>
      <c r="E51" s="332">
        <f t="shared" si="13"/>
        <v>8998136</v>
      </c>
      <c r="F51" s="332">
        <f t="shared" si="13"/>
        <v>2628195</v>
      </c>
      <c r="G51" s="332">
        <f t="shared" si="13"/>
        <v>51974000</v>
      </c>
      <c r="H51" s="332">
        <f t="shared" si="13"/>
        <v>34331559</v>
      </c>
      <c r="I51" s="332">
        <f t="shared" si="13"/>
        <v>42465150</v>
      </c>
      <c r="J51" s="332">
        <f t="shared" si="13"/>
        <v>11705700</v>
      </c>
      <c r="K51" s="332">
        <f t="shared" si="13"/>
        <v>70000</v>
      </c>
      <c r="L51" s="332">
        <f t="shared" si="13"/>
        <v>17349900</v>
      </c>
      <c r="M51" s="332">
        <f t="shared" si="13"/>
        <v>0</v>
      </c>
      <c r="N51" s="332">
        <f t="shared" si="13"/>
        <v>0</v>
      </c>
      <c r="O51" s="400">
        <f t="shared" si="13"/>
        <v>400000</v>
      </c>
      <c r="P51" s="355">
        <f t="shared" si="12"/>
        <v>170127551</v>
      </c>
      <c r="Q51" s="379"/>
      <c r="R51" s="379"/>
      <c r="S51" s="379"/>
      <c r="T51" s="379"/>
      <c r="U51" s="379"/>
      <c r="V51" s="49" t="s">
        <v>0</v>
      </c>
      <c r="W51" s="39">
        <v>91999908</v>
      </c>
      <c r="X51" s="80" t="s">
        <v>609</v>
      </c>
      <c r="Y51" s="80" t="s">
        <v>609</v>
      </c>
      <c r="Z51" s="60">
        <v>3015</v>
      </c>
      <c r="AA51" s="332">
        <v>150</v>
      </c>
      <c r="AB51" s="80" t="s">
        <v>617</v>
      </c>
      <c r="AC51" s="11"/>
    </row>
    <row r="52" spans="1:29">
      <c r="A52" s="445" t="s">
        <v>514</v>
      </c>
      <c r="B52" s="332">
        <f t="shared" ref="B52:O52" si="14">B94-B41</f>
        <v>0</v>
      </c>
      <c r="C52" s="332">
        <f t="shared" si="14"/>
        <v>0</v>
      </c>
      <c r="D52" s="332">
        <f t="shared" si="14"/>
        <v>0</v>
      </c>
      <c r="E52" s="332">
        <f t="shared" si="14"/>
        <v>0</v>
      </c>
      <c r="F52" s="332">
        <f t="shared" si="14"/>
        <v>0</v>
      </c>
      <c r="G52" s="332">
        <f t="shared" si="14"/>
        <v>0</v>
      </c>
      <c r="H52" s="332">
        <f t="shared" si="14"/>
        <v>339726</v>
      </c>
      <c r="I52" s="332">
        <f t="shared" si="14"/>
        <v>0</v>
      </c>
      <c r="J52" s="332">
        <f t="shared" si="14"/>
        <v>0</v>
      </c>
      <c r="K52" s="332">
        <f t="shared" si="14"/>
        <v>0</v>
      </c>
      <c r="L52" s="332">
        <f t="shared" si="14"/>
        <v>0</v>
      </c>
      <c r="M52" s="332">
        <f t="shared" si="14"/>
        <v>0</v>
      </c>
      <c r="N52" s="332">
        <f t="shared" si="14"/>
        <v>0</v>
      </c>
      <c r="O52" s="400">
        <f t="shared" si="14"/>
        <v>0</v>
      </c>
      <c r="P52" s="355">
        <f t="shared" si="12"/>
        <v>339726</v>
      </c>
      <c r="Q52" s="379"/>
      <c r="R52" s="379"/>
      <c r="S52" s="379"/>
      <c r="T52" s="379"/>
      <c r="U52" s="379"/>
      <c r="V52" s="49" t="s">
        <v>0</v>
      </c>
      <c r="W52" s="39">
        <v>91999907</v>
      </c>
      <c r="X52" s="80" t="s">
        <v>609</v>
      </c>
      <c r="Y52" s="80" t="s">
        <v>609</v>
      </c>
      <c r="Z52" s="60">
        <v>3016</v>
      </c>
      <c r="AA52" s="332">
        <v>-200</v>
      </c>
      <c r="AB52" s="80" t="s">
        <v>618</v>
      </c>
      <c r="AC52" s="11"/>
    </row>
    <row r="53" spans="1:29">
      <c r="A53" s="445" t="s">
        <v>535</v>
      </c>
      <c r="B53" s="332">
        <f>B42</f>
        <v>201270</v>
      </c>
      <c r="C53" s="332">
        <f t="shared" ref="C53:O53" si="15">C42</f>
        <v>402540</v>
      </c>
      <c r="D53" s="332">
        <f t="shared" si="15"/>
        <v>0</v>
      </c>
      <c r="E53" s="332">
        <f t="shared" si="15"/>
        <v>301905</v>
      </c>
      <c r="F53" s="332">
        <f t="shared" si="15"/>
        <v>0</v>
      </c>
      <c r="G53" s="332">
        <f t="shared" si="15"/>
        <v>0</v>
      </c>
      <c r="H53" s="332">
        <f t="shared" si="15"/>
        <v>6562568</v>
      </c>
      <c r="I53" s="332">
        <f t="shared" si="15"/>
        <v>0</v>
      </c>
      <c r="J53" s="332">
        <f t="shared" si="15"/>
        <v>0</v>
      </c>
      <c r="K53" s="332">
        <f t="shared" si="15"/>
        <v>0</v>
      </c>
      <c r="L53" s="332">
        <f t="shared" si="15"/>
        <v>0</v>
      </c>
      <c r="M53" s="332">
        <f t="shared" si="15"/>
        <v>0</v>
      </c>
      <c r="N53" s="332">
        <f t="shared" si="15"/>
        <v>0</v>
      </c>
      <c r="O53" s="400">
        <f t="shared" si="15"/>
        <v>0</v>
      </c>
      <c r="P53" s="346">
        <f t="shared" si="12"/>
        <v>7468283</v>
      </c>
      <c r="Q53" s="379"/>
      <c r="R53" s="379"/>
      <c r="S53" s="379"/>
      <c r="T53" s="379"/>
      <c r="U53" s="379"/>
      <c r="V53" s="49" t="s">
        <v>0</v>
      </c>
      <c r="W53" s="39">
        <v>91999908</v>
      </c>
      <c r="X53" s="80" t="s">
        <v>609</v>
      </c>
      <c r="Y53" s="80" t="s">
        <v>609</v>
      </c>
      <c r="Z53" s="60">
        <v>3016</v>
      </c>
      <c r="AA53" s="332">
        <v>300</v>
      </c>
      <c r="AB53" s="80" t="s">
        <v>619</v>
      </c>
      <c r="AC53" s="11"/>
    </row>
    <row r="54" spans="1:29">
      <c r="A54" s="445" t="s">
        <v>538</v>
      </c>
      <c r="B54" s="332">
        <f>B95</f>
        <v>0</v>
      </c>
      <c r="C54" s="332">
        <f t="shared" ref="C54:O54" si="16">C95</f>
        <v>0</v>
      </c>
      <c r="D54" s="332">
        <f t="shared" si="16"/>
        <v>0</v>
      </c>
      <c r="E54" s="332">
        <f t="shared" si="16"/>
        <v>0</v>
      </c>
      <c r="F54" s="332">
        <f t="shared" si="16"/>
        <v>0</v>
      </c>
      <c r="G54" s="332">
        <f>G95</f>
        <v>0</v>
      </c>
      <c r="H54" s="332">
        <f>H95</f>
        <v>594521</v>
      </c>
      <c r="I54" s="332">
        <f t="shared" si="16"/>
        <v>0</v>
      </c>
      <c r="J54" s="332">
        <f t="shared" si="16"/>
        <v>0</v>
      </c>
      <c r="K54" s="332">
        <f t="shared" si="16"/>
        <v>0</v>
      </c>
      <c r="L54" s="332">
        <f t="shared" si="16"/>
        <v>0</v>
      </c>
      <c r="M54" s="332">
        <f t="shared" si="16"/>
        <v>0</v>
      </c>
      <c r="N54" s="332">
        <f t="shared" si="16"/>
        <v>0</v>
      </c>
      <c r="O54" s="400">
        <f t="shared" si="16"/>
        <v>0</v>
      </c>
      <c r="P54" s="355">
        <f t="shared" si="12"/>
        <v>594521</v>
      </c>
      <c r="Q54" s="379"/>
      <c r="R54" s="379"/>
      <c r="S54" s="347"/>
      <c r="T54" s="347"/>
      <c r="U54" s="347"/>
      <c r="V54" s="49" t="s">
        <v>0</v>
      </c>
      <c r="W54" s="39">
        <v>91999901</v>
      </c>
      <c r="X54" s="80" t="s">
        <v>609</v>
      </c>
      <c r="Y54" s="80" t="s">
        <v>609</v>
      </c>
      <c r="Z54" s="60">
        <v>3132</v>
      </c>
      <c r="AA54" s="332">
        <v>10000000</v>
      </c>
      <c r="AB54" s="80"/>
      <c r="AC54" s="11"/>
    </row>
    <row r="55" spans="1:29">
      <c r="A55" s="445" t="s">
        <v>539</v>
      </c>
      <c r="B55" s="332">
        <f t="shared" ref="B55:G55" si="17">IF(OR(B18="A",B18="B"),0,ROUND(ROUND(297.1*$B$4,0)/365*B16,0))*B19</f>
        <v>0</v>
      </c>
      <c r="C55" s="332">
        <f t="shared" si="17"/>
        <v>0</v>
      </c>
      <c r="D55" s="332">
        <f t="shared" si="17"/>
        <v>0</v>
      </c>
      <c r="E55" s="332">
        <f t="shared" si="17"/>
        <v>0</v>
      </c>
      <c r="F55" s="332">
        <f t="shared" si="17"/>
        <v>0</v>
      </c>
      <c r="G55" s="332">
        <f t="shared" si="17"/>
        <v>0</v>
      </c>
      <c r="H55" s="332">
        <f>ROUND(ROUND(297.1*$B$4,0)/365*H16,0)+ROUND(ROUND(103.98*$B$4,0)/365*H16,0)</f>
        <v>790462</v>
      </c>
      <c r="I55" s="332">
        <f t="shared" ref="I55:O55" si="18">IF(OR(I18="A",I18="B"),0,ROUND(ROUND(297.1*$B$4,0)/365*I16,0))*I19</f>
        <v>0</v>
      </c>
      <c r="J55" s="332">
        <f t="shared" si="18"/>
        <v>0</v>
      </c>
      <c r="K55" s="332">
        <f t="shared" si="18"/>
        <v>0</v>
      </c>
      <c r="L55" s="332">
        <f t="shared" si="18"/>
        <v>0</v>
      </c>
      <c r="M55" s="332">
        <f t="shared" si="18"/>
        <v>0</v>
      </c>
      <c r="N55" s="332">
        <f t="shared" si="18"/>
        <v>0</v>
      </c>
      <c r="O55" s="400">
        <f t="shared" si="18"/>
        <v>0</v>
      </c>
      <c r="P55" s="346">
        <f t="shared" si="12"/>
        <v>790462</v>
      </c>
      <c r="Q55" s="347"/>
      <c r="R55" s="347"/>
      <c r="S55" s="347"/>
      <c r="T55" s="347"/>
      <c r="U55" s="347"/>
      <c r="V55" s="49" t="s">
        <v>0</v>
      </c>
      <c r="W55" s="39">
        <v>91999907</v>
      </c>
      <c r="X55" s="80" t="s">
        <v>609</v>
      </c>
      <c r="Y55" s="80" t="s">
        <v>609</v>
      </c>
      <c r="Z55" s="60">
        <v>3132</v>
      </c>
      <c r="AA55" s="332">
        <v>1000</v>
      </c>
      <c r="AB55" s="80" t="s">
        <v>619</v>
      </c>
      <c r="AC55" s="11"/>
    </row>
    <row r="56" spans="1:29">
      <c r="A56" s="412" t="s">
        <v>621</v>
      </c>
      <c r="B56" s="331"/>
      <c r="C56" s="332"/>
      <c r="D56" s="332"/>
      <c r="E56" s="332">
        <f>AA61</f>
        <v>-5000000</v>
      </c>
      <c r="F56" s="332">
        <f>AA62</f>
        <v>5000000</v>
      </c>
      <c r="G56" s="332"/>
      <c r="H56" s="332"/>
      <c r="I56" s="332"/>
      <c r="J56" s="332"/>
      <c r="K56" s="332"/>
      <c r="L56" s="332"/>
      <c r="M56" s="332"/>
      <c r="N56" s="332"/>
      <c r="O56" s="400"/>
      <c r="P56" s="355">
        <f t="shared" si="12"/>
        <v>0</v>
      </c>
      <c r="Q56" s="379"/>
      <c r="R56" s="379"/>
      <c r="S56" s="90"/>
      <c r="T56" s="90"/>
      <c r="U56" s="90"/>
      <c r="V56" s="49" t="s">
        <v>0</v>
      </c>
      <c r="W56" s="39">
        <v>91999902</v>
      </c>
      <c r="X56" s="80" t="s">
        <v>609</v>
      </c>
      <c r="Y56" s="80" t="s">
        <v>609</v>
      </c>
      <c r="Z56" s="60">
        <v>3200</v>
      </c>
      <c r="AA56" s="332">
        <v>10000000</v>
      </c>
      <c r="AB56" s="80"/>
      <c r="AC56" s="11"/>
    </row>
    <row r="57" spans="1:29">
      <c r="A57" s="412" t="s">
        <v>592</v>
      </c>
      <c r="B57" s="331"/>
      <c r="C57" s="332">
        <f>AA65</f>
        <v>3000000</v>
      </c>
      <c r="D57" s="332"/>
      <c r="E57" s="332"/>
      <c r="F57" s="332"/>
      <c r="G57" s="332">
        <f>AA66*B4</f>
        <v>16243500</v>
      </c>
      <c r="H57" s="332"/>
      <c r="I57" s="332"/>
      <c r="J57" s="332"/>
      <c r="K57" s="332"/>
      <c r="L57" s="332"/>
      <c r="M57" s="332"/>
      <c r="N57" s="332"/>
      <c r="O57" s="400"/>
      <c r="P57" s="355">
        <f t="shared" ref="P57:P62" si="19">SUM(B57:O57)</f>
        <v>19243500</v>
      </c>
      <c r="Q57" s="379"/>
      <c r="R57" s="379"/>
      <c r="S57" s="379"/>
      <c r="T57" s="379"/>
      <c r="U57" s="379"/>
      <c r="V57" s="49" t="s">
        <v>0</v>
      </c>
      <c r="W57" s="39">
        <v>91999907</v>
      </c>
      <c r="X57" s="80" t="s">
        <v>609</v>
      </c>
      <c r="Y57" s="80" t="s">
        <v>609</v>
      </c>
      <c r="Z57" s="60">
        <v>3200</v>
      </c>
      <c r="AA57" s="332">
        <v>500</v>
      </c>
      <c r="AB57" s="80" t="s">
        <v>610</v>
      </c>
      <c r="AC57" s="11"/>
    </row>
    <row r="58" spans="1:29">
      <c r="A58" s="412" t="s">
        <v>593</v>
      </c>
      <c r="B58" s="331"/>
      <c r="C58" s="332"/>
      <c r="D58" s="332">
        <f>AA67</f>
        <v>4000000</v>
      </c>
      <c r="E58" s="340"/>
      <c r="F58" s="332"/>
      <c r="G58" s="332"/>
      <c r="H58" s="332">
        <f>AA68*B4</f>
        <v>13923000</v>
      </c>
      <c r="I58" s="332"/>
      <c r="J58" s="332"/>
      <c r="K58" s="340"/>
      <c r="L58" s="340"/>
      <c r="M58" s="340"/>
      <c r="N58" s="340"/>
      <c r="O58" s="401"/>
      <c r="P58" s="355">
        <f t="shared" si="19"/>
        <v>17923000</v>
      </c>
      <c r="Q58" s="379"/>
      <c r="R58" s="379"/>
      <c r="S58" s="379"/>
      <c r="T58" s="379"/>
      <c r="U58" s="379"/>
      <c r="V58" s="49" t="s">
        <v>0</v>
      </c>
      <c r="W58" s="39">
        <v>91999908</v>
      </c>
      <c r="X58" s="80" t="s">
        <v>609</v>
      </c>
      <c r="Y58" s="80" t="s">
        <v>609</v>
      </c>
      <c r="Z58" s="60">
        <v>3291</v>
      </c>
      <c r="AA58" s="332">
        <v>5000</v>
      </c>
      <c r="AB58" s="80" t="s">
        <v>610</v>
      </c>
      <c r="AC58" s="11"/>
    </row>
    <row r="59" spans="1:29">
      <c r="A59" s="412" t="s">
        <v>594</v>
      </c>
      <c r="B59" s="331"/>
      <c r="C59" s="332"/>
      <c r="D59" s="332"/>
      <c r="E59" s="332">
        <f>AA69</f>
        <v>5000000</v>
      </c>
      <c r="F59" s="332"/>
      <c r="G59" s="332"/>
      <c r="H59" s="332"/>
      <c r="I59" s="332">
        <f>AA70*B4</f>
        <v>11602500</v>
      </c>
      <c r="J59" s="332"/>
      <c r="K59" s="340"/>
      <c r="L59" s="340"/>
      <c r="M59" s="340"/>
      <c r="N59" s="340"/>
      <c r="O59" s="401"/>
      <c r="P59" s="355">
        <f t="shared" si="19"/>
        <v>16602500</v>
      </c>
      <c r="Q59" s="379"/>
      <c r="R59" s="379"/>
      <c r="S59" s="379"/>
      <c r="T59" s="379"/>
      <c r="U59" s="379"/>
      <c r="V59" s="49" t="s">
        <v>0</v>
      </c>
      <c r="W59" s="39">
        <v>91999907</v>
      </c>
      <c r="X59" s="80" t="s">
        <v>609</v>
      </c>
      <c r="Y59" s="80" t="s">
        <v>609</v>
      </c>
      <c r="Z59" s="60">
        <v>3299</v>
      </c>
      <c r="AA59" s="332">
        <v>200</v>
      </c>
      <c r="AB59" s="80" t="s">
        <v>610</v>
      </c>
      <c r="AC59" s="11"/>
    </row>
    <row r="60" spans="1:29">
      <c r="A60" s="412" t="s">
        <v>623</v>
      </c>
      <c r="B60" s="331">
        <f>AA71</f>
        <v>6000000</v>
      </c>
      <c r="C60" s="332"/>
      <c r="D60" s="332"/>
      <c r="E60" s="340"/>
      <c r="F60" s="332"/>
      <c r="G60" s="332">
        <f>AA72*B4</f>
        <v>9282000</v>
      </c>
      <c r="H60" s="332"/>
      <c r="I60" s="332"/>
      <c r="J60" s="332"/>
      <c r="K60" s="332"/>
      <c r="L60" s="340"/>
      <c r="M60" s="340"/>
      <c r="N60" s="340"/>
      <c r="O60" s="401"/>
      <c r="P60" s="355">
        <f t="shared" si="19"/>
        <v>15282000</v>
      </c>
      <c r="Q60" s="379"/>
      <c r="R60" s="379"/>
      <c r="S60" s="379"/>
      <c r="T60" s="379"/>
      <c r="U60" s="379"/>
      <c r="V60" s="49" t="s">
        <v>0</v>
      </c>
      <c r="W60" s="39">
        <v>91999909</v>
      </c>
      <c r="X60" s="80" t="s">
        <v>609</v>
      </c>
      <c r="Y60" s="80" t="s">
        <v>609</v>
      </c>
      <c r="Z60" s="60">
        <v>3299</v>
      </c>
      <c r="AA60" s="332">
        <v>6000000</v>
      </c>
      <c r="AB60" s="80"/>
      <c r="AC60" s="11"/>
    </row>
    <row r="61" spans="1:29">
      <c r="A61" s="412" t="s">
        <v>595</v>
      </c>
      <c r="B61" s="331"/>
      <c r="C61" s="332"/>
      <c r="D61" s="332"/>
      <c r="E61" s="340">
        <f>AA73</f>
        <v>2000000</v>
      </c>
      <c r="F61" s="332"/>
      <c r="G61" s="332">
        <f>AA74*B4</f>
        <v>23205000</v>
      </c>
      <c r="H61" s="332"/>
      <c r="I61" s="332"/>
      <c r="J61" s="332"/>
      <c r="K61" s="340"/>
      <c r="L61" s="340"/>
      <c r="M61" s="340"/>
      <c r="N61" s="340"/>
      <c r="O61" s="401"/>
      <c r="P61" s="355">
        <f t="shared" si="19"/>
        <v>25205000</v>
      </c>
      <c r="Q61" s="379"/>
      <c r="R61" s="379"/>
      <c r="S61" s="379"/>
      <c r="T61" s="379"/>
      <c r="U61" s="379"/>
      <c r="V61" s="49" t="s">
        <v>0</v>
      </c>
      <c r="W61" s="39">
        <v>91999904</v>
      </c>
      <c r="X61" s="80" t="s">
        <v>609</v>
      </c>
      <c r="Y61" s="80" t="s">
        <v>609</v>
      </c>
      <c r="Z61" s="60" t="s">
        <v>620</v>
      </c>
      <c r="AA61" s="332">
        <v>-5000000</v>
      </c>
      <c r="AB61" s="80"/>
      <c r="AC61" s="11"/>
    </row>
    <row r="62" spans="1:29">
      <c r="A62" s="412" t="s">
        <v>596</v>
      </c>
      <c r="B62" s="331"/>
      <c r="C62" s="332"/>
      <c r="D62" s="332"/>
      <c r="E62" s="340"/>
      <c r="F62" s="332"/>
      <c r="G62" s="332"/>
      <c r="H62" s="332">
        <f>AA76*B4</f>
        <v>6961500</v>
      </c>
      <c r="I62" s="332"/>
      <c r="J62" s="332"/>
      <c r="K62" s="340"/>
      <c r="L62" s="340"/>
      <c r="M62" s="340"/>
      <c r="N62" s="340"/>
      <c r="O62" s="401">
        <f>AA75</f>
        <v>4000000</v>
      </c>
      <c r="P62" s="355">
        <f t="shared" si="19"/>
        <v>10961500</v>
      </c>
      <c r="Q62" s="379"/>
      <c r="R62" s="379"/>
      <c r="S62" s="379"/>
      <c r="T62" s="379"/>
      <c r="U62" s="379"/>
      <c r="V62" s="49" t="s">
        <v>0</v>
      </c>
      <c r="W62" s="39">
        <v>91999905</v>
      </c>
      <c r="X62" s="80" t="s">
        <v>609</v>
      </c>
      <c r="Y62" s="80" t="s">
        <v>609</v>
      </c>
      <c r="Z62" s="60" t="s">
        <v>620</v>
      </c>
      <c r="AA62" s="332">
        <v>5000000</v>
      </c>
      <c r="AB62" s="80"/>
      <c r="AC62" s="11"/>
    </row>
    <row r="63" spans="1:29">
      <c r="A63" s="412"/>
      <c r="B63" s="371"/>
      <c r="C63" s="372"/>
      <c r="D63" s="372"/>
      <c r="E63" s="373"/>
      <c r="F63" s="372"/>
      <c r="G63" s="372"/>
      <c r="H63" s="372"/>
      <c r="I63" s="372"/>
      <c r="J63" s="372"/>
      <c r="K63" s="373"/>
      <c r="L63" s="373"/>
      <c r="M63" s="373"/>
      <c r="N63" s="373"/>
      <c r="O63" s="403"/>
      <c r="P63" s="355"/>
      <c r="Q63" s="379"/>
      <c r="R63" s="379"/>
      <c r="S63" s="379"/>
      <c r="T63" s="379"/>
      <c r="U63" s="379"/>
      <c r="V63" s="49" t="s">
        <v>0</v>
      </c>
      <c r="W63" s="39">
        <v>91999903</v>
      </c>
      <c r="X63" s="80" t="s">
        <v>609</v>
      </c>
      <c r="Y63" s="80" t="s">
        <v>609</v>
      </c>
      <c r="Z63" s="60">
        <v>3010</v>
      </c>
      <c r="AA63" s="332">
        <v>10000000</v>
      </c>
      <c r="AB63" s="80"/>
      <c r="AC63" s="11"/>
    </row>
    <row r="64" spans="1:29">
      <c r="A64" s="420" t="s">
        <v>4</v>
      </c>
      <c r="B64" s="365">
        <f t="shared" ref="B64:O64" si="20">SUM(B48:B63)</f>
        <v>7088681</v>
      </c>
      <c r="C64" s="366">
        <f t="shared" si="20"/>
        <v>4016790</v>
      </c>
      <c r="D64" s="366">
        <f t="shared" si="20"/>
        <v>4227500</v>
      </c>
      <c r="E64" s="366">
        <f t="shared" si="20"/>
        <v>12245041</v>
      </c>
      <c r="F64" s="366">
        <f t="shared" si="20"/>
        <v>7628195</v>
      </c>
      <c r="G64" s="366">
        <f t="shared" si="20"/>
        <v>100704500</v>
      </c>
      <c r="H64" s="366">
        <f t="shared" si="20"/>
        <v>63950336</v>
      </c>
      <c r="I64" s="366">
        <f t="shared" si="20"/>
        <v>54514650</v>
      </c>
      <c r="J64" s="366">
        <f t="shared" si="20"/>
        <v>15186700</v>
      </c>
      <c r="K64" s="366">
        <f t="shared" si="20"/>
        <v>70000</v>
      </c>
      <c r="L64" s="366">
        <f t="shared" si="20"/>
        <v>21016900</v>
      </c>
      <c r="M64" s="366">
        <f t="shared" si="20"/>
        <v>0</v>
      </c>
      <c r="N64" s="366">
        <f t="shared" si="20"/>
        <v>0</v>
      </c>
      <c r="O64" s="638">
        <f t="shared" si="20"/>
        <v>4400000</v>
      </c>
      <c r="P64" s="355">
        <f>SUM(B64:O64)</f>
        <v>295049293</v>
      </c>
      <c r="Q64" s="379"/>
      <c r="R64" s="379"/>
      <c r="S64" s="379"/>
      <c r="T64" s="379"/>
      <c r="U64" s="379"/>
      <c r="V64" s="49" t="s">
        <v>0</v>
      </c>
      <c r="W64" s="39">
        <v>91999908</v>
      </c>
      <c r="X64" s="80" t="s">
        <v>609</v>
      </c>
      <c r="Y64" s="80" t="s">
        <v>609</v>
      </c>
      <c r="Z64" s="60">
        <v>3010</v>
      </c>
      <c r="AA64" s="332">
        <v>55555</v>
      </c>
      <c r="AB64" s="80" t="s">
        <v>622</v>
      </c>
      <c r="AC64" s="11"/>
    </row>
    <row r="65" spans="1:29">
      <c r="A65" s="421"/>
      <c r="B65" s="331"/>
      <c r="C65" s="332"/>
      <c r="D65" s="332"/>
      <c r="E65" s="340"/>
      <c r="F65" s="332"/>
      <c r="G65" s="332"/>
      <c r="H65" s="332"/>
      <c r="I65" s="332"/>
      <c r="J65" s="332"/>
      <c r="K65" s="340"/>
      <c r="L65" s="340"/>
      <c r="M65" s="340"/>
      <c r="N65" s="340"/>
      <c r="O65" s="401"/>
      <c r="P65" s="355"/>
      <c r="Q65" s="379"/>
      <c r="R65" s="379"/>
      <c r="S65" s="379"/>
      <c r="T65" s="379"/>
      <c r="U65" s="379"/>
      <c r="V65" s="49" t="s">
        <v>0</v>
      </c>
      <c r="W65" s="39">
        <v>91999992</v>
      </c>
      <c r="X65" s="80" t="s">
        <v>609</v>
      </c>
      <c r="Y65" s="80" t="s">
        <v>609</v>
      </c>
      <c r="Z65" s="60">
        <v>7090</v>
      </c>
      <c r="AA65" s="332">
        <v>3000000</v>
      </c>
      <c r="AB65" s="80"/>
      <c r="AC65" s="11"/>
    </row>
    <row r="66" spans="1:29" ht="14.4" thickBot="1">
      <c r="A66" s="450" t="s">
        <v>5</v>
      </c>
      <c r="B66" s="334">
        <f t="shared" ref="B66:O66" si="21">MAX(B44-B64,0)</f>
        <v>9411319</v>
      </c>
      <c r="C66" s="334">
        <f t="shared" si="21"/>
        <v>11833210</v>
      </c>
      <c r="D66" s="334">
        <f t="shared" si="21"/>
        <v>4872500</v>
      </c>
      <c r="E66" s="334">
        <f t="shared" si="21"/>
        <v>76754959</v>
      </c>
      <c r="F66" s="334">
        <f t="shared" si="21"/>
        <v>17974305</v>
      </c>
      <c r="G66" s="334">
        <f t="shared" si="21"/>
        <v>84935500</v>
      </c>
      <c r="H66" s="334">
        <f t="shared" si="21"/>
        <v>100805164</v>
      </c>
      <c r="I66" s="334">
        <f t="shared" si="21"/>
        <v>157811100</v>
      </c>
      <c r="J66" s="334">
        <f t="shared" si="21"/>
        <v>55813300</v>
      </c>
      <c r="K66" s="334">
        <f t="shared" si="21"/>
        <v>10330000</v>
      </c>
      <c r="L66" s="334">
        <f t="shared" si="21"/>
        <v>68983100</v>
      </c>
      <c r="M66" s="334">
        <f t="shared" si="21"/>
        <v>7500000</v>
      </c>
      <c r="N66" s="334">
        <f t="shared" si="21"/>
        <v>9000000</v>
      </c>
      <c r="O66" s="404">
        <f t="shared" si="21"/>
        <v>0</v>
      </c>
      <c r="P66" s="355">
        <f>SUM(B66:O66)</f>
        <v>616024457</v>
      </c>
      <c r="Q66" s="379"/>
      <c r="R66" s="379"/>
      <c r="S66" s="379"/>
      <c r="T66" s="379"/>
      <c r="U66" s="379"/>
      <c r="V66" s="49" t="s">
        <v>0</v>
      </c>
      <c r="W66" s="39">
        <v>91999906</v>
      </c>
      <c r="X66" s="80" t="s">
        <v>609</v>
      </c>
      <c r="Y66" s="80" t="s">
        <v>609</v>
      </c>
      <c r="Z66" s="60">
        <v>7090</v>
      </c>
      <c r="AA66" s="332">
        <v>700</v>
      </c>
      <c r="AB66" s="80" t="s">
        <v>618</v>
      </c>
      <c r="AC66" s="11"/>
    </row>
    <row r="67" spans="1:29" ht="14.4" thickTop="1">
      <c r="A67" s="450" t="s">
        <v>1198</v>
      </c>
      <c r="B67" s="332">
        <f t="shared" ref="B67:O67" si="22">MAX(B64-B44,0)</f>
        <v>0</v>
      </c>
      <c r="C67" s="332">
        <f t="shared" si="22"/>
        <v>0</v>
      </c>
      <c r="D67" s="332">
        <f t="shared" si="22"/>
        <v>0</v>
      </c>
      <c r="E67" s="332">
        <f t="shared" si="22"/>
        <v>0</v>
      </c>
      <c r="F67" s="332">
        <f t="shared" si="22"/>
        <v>0</v>
      </c>
      <c r="G67" s="332">
        <f t="shared" si="22"/>
        <v>0</v>
      </c>
      <c r="H67" s="332">
        <f t="shared" si="22"/>
        <v>0</v>
      </c>
      <c r="I67" s="332">
        <f t="shared" si="22"/>
        <v>0</v>
      </c>
      <c r="J67" s="332">
        <f t="shared" si="22"/>
        <v>0</v>
      </c>
      <c r="K67" s="332">
        <f t="shared" si="22"/>
        <v>0</v>
      </c>
      <c r="L67" s="332">
        <f t="shared" si="22"/>
        <v>0</v>
      </c>
      <c r="M67" s="332">
        <f t="shared" si="22"/>
        <v>0</v>
      </c>
      <c r="N67" s="332">
        <f t="shared" si="22"/>
        <v>0</v>
      </c>
      <c r="O67" s="400">
        <f t="shared" si="22"/>
        <v>400000</v>
      </c>
      <c r="P67" s="355">
        <f>SUM(B67:O67)</f>
        <v>400000</v>
      </c>
      <c r="Q67" s="379"/>
      <c r="R67" s="379"/>
      <c r="S67" s="379"/>
      <c r="T67" s="379"/>
      <c r="U67" s="379"/>
      <c r="V67" s="49" t="s">
        <v>0</v>
      </c>
      <c r="W67" s="39">
        <v>91999903</v>
      </c>
      <c r="X67" s="80" t="s">
        <v>609</v>
      </c>
      <c r="Y67" s="80" t="s">
        <v>609</v>
      </c>
      <c r="Z67" s="60" t="s">
        <v>624</v>
      </c>
      <c r="AA67" s="332">
        <v>4000000</v>
      </c>
      <c r="AB67" s="80"/>
      <c r="AC67" s="11"/>
    </row>
    <row r="68" spans="1:29" ht="15.6">
      <c r="A68" s="411" t="s">
        <v>62</v>
      </c>
      <c r="B68" s="374"/>
      <c r="C68" s="405"/>
      <c r="D68" s="405"/>
      <c r="E68" s="370"/>
      <c r="F68" s="405"/>
      <c r="G68" s="405"/>
      <c r="H68" s="406"/>
      <c r="I68" s="405"/>
      <c r="J68" s="405"/>
      <c r="K68" s="370"/>
      <c r="L68" s="370"/>
      <c r="M68" s="370"/>
      <c r="N68" s="370"/>
      <c r="O68" s="383"/>
      <c r="P68" s="383"/>
      <c r="Q68" s="379"/>
      <c r="R68" s="379"/>
      <c r="S68" s="379"/>
      <c r="T68" s="379"/>
      <c r="U68" s="379"/>
      <c r="V68" s="49" t="s">
        <v>0</v>
      </c>
      <c r="W68" s="39">
        <v>91999907</v>
      </c>
      <c r="X68" s="80" t="s">
        <v>609</v>
      </c>
      <c r="Y68" s="80" t="s">
        <v>609</v>
      </c>
      <c r="Z68" s="60" t="s">
        <v>624</v>
      </c>
      <c r="AA68" s="332">
        <v>600</v>
      </c>
      <c r="AB68" s="80" t="s">
        <v>625</v>
      </c>
      <c r="AC68" s="11"/>
    </row>
    <row r="69" spans="1:29">
      <c r="A69" s="424" t="s">
        <v>573</v>
      </c>
      <c r="B69" s="332">
        <f>IF(B14&gt;B15/2,ROUND(MIN(B101,29800000)*'New Hire'!C57,0),0)</f>
        <v>1105000</v>
      </c>
      <c r="C69" s="332">
        <f>IF(C14&gt;C15/2,ROUND(MIN(C101,29800000)*'New Hire'!D57,0),0)</f>
        <v>1023750</v>
      </c>
      <c r="D69" s="332">
        <f>IF(D14&gt;D15/2,ROUND(MIN(D101,29800000)*'New Hire'!E57,0),0)</f>
        <v>45500</v>
      </c>
      <c r="E69" s="332">
        <f>IF(E14&gt;E15/2,ROUND(MIN(E101,29800000)*'New Hire'!F57,0),0)</f>
        <v>1530000</v>
      </c>
      <c r="F69" s="332">
        <f>IF(F14&gt;F15/2,ROUND(MIN(F101,29800000)*'New Hire'!G57,0),0)</f>
        <v>0</v>
      </c>
      <c r="G69" s="332">
        <f>IF(G14&gt;G15/2,ROUND(MIN(G101,29800000)*'New Hire'!H57,0),0)</f>
        <v>0</v>
      </c>
      <c r="H69" s="332">
        <f>IF(H14&gt;H15/2,ROUND(MIN(H101,29800000)*'New Hire'!I57,0),0)</f>
        <v>894000</v>
      </c>
      <c r="I69" s="332">
        <f>IF(I14&gt;I15/2,ROUND(MIN(I101,29800000)*'New Hire'!J57,0),0)</f>
        <v>149000</v>
      </c>
      <c r="J69" s="332">
        <f>IF(J14&gt;J15/2,ROUND(MIN(J101,29800000)*'New Hire'!K57,0),0)</f>
        <v>5066000</v>
      </c>
      <c r="K69" s="332">
        <f>IF(K14&gt;K15/2,ROUND(MIN(K101,29800000)*'New Hire'!L57,0),0)</f>
        <v>0</v>
      </c>
      <c r="L69" s="332">
        <f>IF(L14&gt;L15/2,ROUND(MIN(L101,29800000)*'New Hire'!M57,0),0)</f>
        <v>5066000</v>
      </c>
      <c r="M69" s="332">
        <f>IF(M14&gt;M15/2,ROUND(MIN(M101,29800000)*'New Hire'!N57,0),0)</f>
        <v>0</v>
      </c>
      <c r="N69" s="332">
        <f>IF(N14&gt;N15/2,ROUND(MIN(N101,29800000)*'New Hire'!O57,0),0)</f>
        <v>0</v>
      </c>
      <c r="O69" s="332">
        <f>IF(O14&gt;O15/2,ROUND(MIN(O101,29800000)*'New Hire'!P57,0),0)</f>
        <v>0</v>
      </c>
      <c r="P69" s="346">
        <f>SUM(B69:O69)</f>
        <v>14879250</v>
      </c>
      <c r="Q69" s="379"/>
      <c r="R69" s="379"/>
      <c r="S69" s="379"/>
      <c r="T69" s="379"/>
      <c r="U69" s="379"/>
      <c r="V69" s="49" t="s">
        <v>0</v>
      </c>
      <c r="W69" s="39">
        <v>91999904</v>
      </c>
      <c r="X69" s="80" t="s">
        <v>609</v>
      </c>
      <c r="Y69" s="80" t="s">
        <v>609</v>
      </c>
      <c r="Z69" s="60">
        <v>7050</v>
      </c>
      <c r="AA69" s="332">
        <v>5000000</v>
      </c>
      <c r="AB69" s="80"/>
      <c r="AC69" s="11"/>
    </row>
    <row r="70" spans="1:29">
      <c r="A70" s="445" t="s">
        <v>574</v>
      </c>
      <c r="B70" s="332">
        <f>IF(B14&gt;B15/2,ROUND(MIN(B101,83600000)*'New Hire'!C60,0),0)</f>
        <v>65000</v>
      </c>
      <c r="C70" s="332">
        <f>IF(C14&gt;C15/2,ROUND(MIN(C101,83600000)*'New Hire'!D60,0),0)</f>
        <v>58500</v>
      </c>
      <c r="D70" s="332">
        <f>IF(D14&gt;D15/2,ROUND(MIN(D101,83600000)*'New Hire'!E60,0),0)</f>
        <v>91000</v>
      </c>
      <c r="E70" s="332">
        <f>IF(E14&gt;E15/2,ROUND(MIN(E101,83600000)*'New Hire'!F60,0),0)</f>
        <v>90000</v>
      </c>
      <c r="F70" s="332">
        <f>IF(F14&gt;F15/2,ROUND(MIN(F101,83600000)*'New Hire'!G60,0),0)</f>
        <v>0</v>
      </c>
      <c r="G70" s="332">
        <f>IF(G14&gt;G15/2,ROUND(MIN(G101,83600000)*'New Hire'!H60,0),0)</f>
        <v>0</v>
      </c>
      <c r="H70" s="332">
        <f>IF(H14&gt;H15/2,ROUND(MIN(H101,83600000)*'New Hire'!I60,0),0)</f>
        <v>0</v>
      </c>
      <c r="I70" s="332">
        <f>IF(I14&gt;I15/2,ROUND(MIN(I101,83600000)*'New Hire'!J60,0),0)</f>
        <v>0</v>
      </c>
      <c r="J70" s="332">
        <f>IF(J14&gt;J15/2,ROUND(MIN(J101,83600000)*'New Hire'!K60,0),0)</f>
        <v>650000</v>
      </c>
      <c r="K70" s="332">
        <f>IF(K14&gt;K15/2,ROUND(MIN(K101,83600000)*'New Hire'!L60,0),0)</f>
        <v>0</v>
      </c>
      <c r="L70" s="332">
        <f>IF(L14&gt;L15/2,ROUND(MIN(L101,83600000)*'New Hire'!M60,0),0)</f>
        <v>836000</v>
      </c>
      <c r="M70" s="332">
        <f>IF(M14&gt;M15/2,ROUND(MIN(M101,83600000)*'New Hire'!N60,0),0)</f>
        <v>0</v>
      </c>
      <c r="N70" s="332">
        <f>IF(N14&gt;N15/2,ROUND(MIN(N101,83600000)*'New Hire'!O60,0),0)</f>
        <v>0</v>
      </c>
      <c r="O70" s="332">
        <f>IF(O14&gt;O15/2,ROUND(MIN(O101,83600000)*'New Hire'!P60,0),0)</f>
        <v>0</v>
      </c>
      <c r="P70" s="346">
        <f>SUM(B70:O70)</f>
        <v>1790500</v>
      </c>
      <c r="Q70" s="379"/>
      <c r="R70" s="379"/>
      <c r="S70" s="379"/>
      <c r="T70" s="379"/>
      <c r="U70" s="379"/>
      <c r="V70" s="49" t="s">
        <v>0</v>
      </c>
      <c r="W70" s="39">
        <v>91999908</v>
      </c>
      <c r="X70" s="80" t="s">
        <v>609</v>
      </c>
      <c r="Y70" s="80" t="s">
        <v>609</v>
      </c>
      <c r="Z70" s="60">
        <v>7050</v>
      </c>
      <c r="AA70" s="332">
        <v>500</v>
      </c>
      <c r="AB70" s="80" t="s">
        <v>626</v>
      </c>
      <c r="AC70" s="11"/>
    </row>
    <row r="71" spans="1:29">
      <c r="A71" s="445" t="s">
        <v>575</v>
      </c>
      <c r="B71" s="332">
        <f>IF(B14&gt;B15/2,ROUND(MIN(B101,29800000)*'New Hire'!C63,0),0)</f>
        <v>195000</v>
      </c>
      <c r="C71" s="332">
        <f>IF(C14&gt;C15/2,ROUND(MIN(C101,29800000)*'New Hire'!D63,0),0)</f>
        <v>175500</v>
      </c>
      <c r="D71" s="332">
        <f>IF(D14&gt;D15/2,ROUND(MIN(D101,29800000)*'New Hire'!E63,0),0)</f>
        <v>273000</v>
      </c>
      <c r="E71" s="332">
        <f>IF(E14&gt;E15/2,ROUND(MIN(E101,29800000)*'New Hire'!F63,0),0)</f>
        <v>270000</v>
      </c>
      <c r="F71" s="332">
        <f>IF(F14&gt;F15/2,ROUND(MIN(F101,29800000)*'New Hire'!G63,0),0)</f>
        <v>0</v>
      </c>
      <c r="G71" s="332">
        <f>IF(G14&gt;G15/2,ROUND(MIN(G101,29800000)*'New Hire'!H63,0),0)</f>
        <v>0</v>
      </c>
      <c r="H71" s="332">
        <f>IF(H14&gt;H15/2,ROUND(MIN(H101,29800000)*'New Hire'!I63,0),0)</f>
        <v>894000</v>
      </c>
      <c r="I71" s="332">
        <f>IF(I14&gt;I15/2,ROUND(MIN(I101,29800000)*'New Hire'!J63,0),0)</f>
        <v>894000</v>
      </c>
      <c r="J71" s="332">
        <f>IF(J14&gt;J15/2,ROUND(MIN(J101,29800000)*'New Hire'!K63,0),0)</f>
        <v>894000</v>
      </c>
      <c r="K71" s="332">
        <f>IF(K14&gt;K15/2,ROUND(MIN(K101,29800000)*'New Hire'!L63,0),0)</f>
        <v>0</v>
      </c>
      <c r="L71" s="332">
        <f>IF(L14&gt;L15/2,ROUND(MIN(L101,29800000)*'New Hire'!M63,0),0)</f>
        <v>894000</v>
      </c>
      <c r="M71" s="332">
        <f>IF(M14&gt;M15/2,ROUND(MIN(M101,29800000)*'New Hire'!N63,0),0)</f>
        <v>0</v>
      </c>
      <c r="N71" s="332">
        <f>IF(N14&gt;N15/2,ROUND(MIN(N101,29800000)*'New Hire'!O63,0),0)</f>
        <v>0</v>
      </c>
      <c r="O71" s="332">
        <f>IF(O14&gt;O15/2,ROUND(MIN(O101,29800000)*'New Hire'!P63,0),0)</f>
        <v>0</v>
      </c>
      <c r="P71" s="346">
        <f>SUM(B71:O71)</f>
        <v>4489500</v>
      </c>
      <c r="Q71" s="347"/>
      <c r="R71" s="347"/>
      <c r="S71" s="347"/>
      <c r="T71" s="347"/>
      <c r="U71" s="347"/>
      <c r="V71" s="49" t="s">
        <v>0</v>
      </c>
      <c r="W71" s="39">
        <v>91999901</v>
      </c>
      <c r="X71" s="80" t="s">
        <v>609</v>
      </c>
      <c r="Y71" s="80" t="s">
        <v>609</v>
      </c>
      <c r="Z71" s="60">
        <v>7055</v>
      </c>
      <c r="AA71" s="332">
        <v>6000000</v>
      </c>
      <c r="AB71" s="80"/>
      <c r="AC71" s="11"/>
    </row>
    <row r="72" spans="1:29">
      <c r="A72" s="412" t="s">
        <v>1131</v>
      </c>
      <c r="B72" s="332">
        <f t="shared" ref="B72:O72" si="23">ROUND(MIN(B101,29800000)*2%,0)</f>
        <v>130000</v>
      </c>
      <c r="C72" s="332">
        <f t="shared" si="23"/>
        <v>117000</v>
      </c>
      <c r="D72" s="332">
        <f t="shared" si="23"/>
        <v>182000</v>
      </c>
      <c r="E72" s="332">
        <f t="shared" si="23"/>
        <v>180000</v>
      </c>
      <c r="F72" s="332">
        <f t="shared" si="23"/>
        <v>280000</v>
      </c>
      <c r="G72" s="332">
        <f t="shared" si="23"/>
        <v>0</v>
      </c>
      <c r="H72" s="332">
        <f t="shared" si="23"/>
        <v>596000</v>
      </c>
      <c r="I72" s="332">
        <f t="shared" si="23"/>
        <v>596000</v>
      </c>
      <c r="J72" s="332">
        <f t="shared" si="23"/>
        <v>596000</v>
      </c>
      <c r="K72" s="332">
        <f t="shared" si="23"/>
        <v>208000</v>
      </c>
      <c r="L72" s="332">
        <f t="shared" si="23"/>
        <v>596000</v>
      </c>
      <c r="M72" s="332">
        <f t="shared" si="23"/>
        <v>150000</v>
      </c>
      <c r="N72" s="332">
        <f t="shared" si="23"/>
        <v>180000</v>
      </c>
      <c r="O72" s="400">
        <f t="shared" si="23"/>
        <v>16000</v>
      </c>
      <c r="P72" s="355">
        <f t="shared" ref="P72" si="24">SUM(B72:O72)-J72</f>
        <v>3231000</v>
      </c>
      <c r="Q72" s="379"/>
      <c r="R72" s="379"/>
      <c r="S72" s="379"/>
      <c r="T72" s="379"/>
      <c r="U72" s="379"/>
      <c r="V72" s="49" t="s">
        <v>0</v>
      </c>
      <c r="W72" s="39">
        <v>91999906</v>
      </c>
      <c r="X72" s="80" t="s">
        <v>609</v>
      </c>
      <c r="Y72" s="80" t="s">
        <v>609</v>
      </c>
      <c r="Z72" s="60">
        <v>7055</v>
      </c>
      <c r="AA72" s="332">
        <v>400</v>
      </c>
      <c r="AB72" s="80" t="s">
        <v>618</v>
      </c>
      <c r="AC72" s="11"/>
    </row>
    <row r="73" spans="1:29">
      <c r="A73" s="412"/>
      <c r="B73" s="331"/>
      <c r="C73" s="332"/>
      <c r="D73" s="332"/>
      <c r="E73" s="340"/>
      <c r="F73" s="332"/>
      <c r="G73" s="332"/>
      <c r="H73" s="332"/>
      <c r="I73" s="332"/>
      <c r="J73" s="332"/>
      <c r="K73" s="340"/>
      <c r="L73" s="340"/>
      <c r="M73" s="340"/>
      <c r="N73" s="340"/>
      <c r="O73" s="401"/>
      <c r="P73" s="346"/>
      <c r="Q73" s="379"/>
      <c r="R73" s="379"/>
      <c r="S73" s="379"/>
      <c r="T73" s="379"/>
      <c r="U73" s="379"/>
      <c r="V73" s="49" t="s">
        <v>0</v>
      </c>
      <c r="W73" s="39">
        <v>91999904</v>
      </c>
      <c r="X73" s="80" t="s">
        <v>609</v>
      </c>
      <c r="Y73" s="80" t="s">
        <v>609</v>
      </c>
      <c r="Z73" s="60">
        <v>7080</v>
      </c>
      <c r="AA73" s="332">
        <v>2000000</v>
      </c>
      <c r="AB73" s="80"/>
      <c r="AC73" s="11"/>
    </row>
    <row r="74" spans="1:29" ht="15.6">
      <c r="A74" s="411" t="s">
        <v>475</v>
      </c>
      <c r="B74" s="331"/>
      <c r="C74" s="332"/>
      <c r="D74" s="332"/>
      <c r="E74" s="340"/>
      <c r="F74" s="332"/>
      <c r="G74" s="332"/>
      <c r="H74" s="332"/>
      <c r="I74" s="332"/>
      <c r="J74" s="332"/>
      <c r="K74" s="340"/>
      <c r="L74" s="340"/>
      <c r="M74" s="340"/>
      <c r="N74" s="340"/>
      <c r="O74" s="401"/>
      <c r="P74" s="346"/>
      <c r="Q74" s="379"/>
      <c r="R74" s="379"/>
      <c r="S74" s="379"/>
      <c r="T74" s="379"/>
      <c r="U74" s="379"/>
      <c r="V74" s="49" t="s">
        <v>0</v>
      </c>
      <c r="W74" s="39">
        <v>91999906</v>
      </c>
      <c r="X74" s="80" t="s">
        <v>609</v>
      </c>
      <c r="Y74" s="80" t="s">
        <v>609</v>
      </c>
      <c r="Z74" s="60">
        <v>7080</v>
      </c>
      <c r="AA74" s="332">
        <v>1000</v>
      </c>
      <c r="AB74" s="80" t="s">
        <v>625</v>
      </c>
      <c r="AC74" s="11"/>
    </row>
    <row r="75" spans="1:29">
      <c r="A75" s="445" t="s">
        <v>476</v>
      </c>
      <c r="B75" s="332">
        <f>IF(AND(OR(B11="1",B11="P"),'New Hire'!C28="Local"),ROUND(B127*B92,0),0)+'UAT2-Feb'!B73</f>
        <v>1217772</v>
      </c>
      <c r="C75" s="332">
        <f>IF(AND(OR(C11="1",C11="P"),'New Hire'!D28="Local"),ROUND(C127*C92,0),0)+'UAT2-Feb'!C73</f>
        <v>729032</v>
      </c>
      <c r="D75" s="332">
        <f>IF(AND(OR(D11="1",D11="P"),'New Hire'!E28="Local"),ROUND(D127*D92,0),0)+'UAT2-Feb'!D73</f>
        <v>0</v>
      </c>
      <c r="E75" s="332">
        <f>IF(AND(OR(E11="1",E11="P"),'New Hire'!F28="Local"),ROUND(E127*E92,0),0)+'UAT2-Feb'!E73</f>
        <v>0</v>
      </c>
      <c r="F75" s="332">
        <f>IF(AND(OR(F11="1",F11="P"),'New Hire'!G28="Local"),ROUND(F127*F92,0),0)+'UAT2-Feb'!F73</f>
        <v>0</v>
      </c>
      <c r="G75" s="332">
        <f>IF(AND(OR(G11="1",G11="P"),'New Hire'!H28="Local"),ROUND(G127*G92,0),0)+'UAT2-Feb'!G73</f>
        <v>0</v>
      </c>
      <c r="H75" s="332">
        <f>IF(AND(OR(H11="1",H11="P"),'New Hire'!I28="Local"),ROUND(H127*H92,0),0)+'UAT2-Feb'!H73</f>
        <v>0</v>
      </c>
      <c r="I75" s="332">
        <f>IF(AND(OR(I11="1",I11="P"),'New Hire'!J28="Local"),ROUND(I127*I92,0),0)+'UAT2-Feb'!I73</f>
        <v>0</v>
      </c>
      <c r="J75" s="332">
        <f>IF(AND(OR(J11="1",J11="P"),'New Hire'!K28="Local"),ROUND(J127*J92,0),0)+'UAT2-Feb'!J73</f>
        <v>6220654</v>
      </c>
      <c r="K75" s="332">
        <f>IF(AND(OR(K11="1",K11="P"),'New Hire'!L28="Local"),ROUND(K127*K92,0),0)+'UAT2-Feb'!K73</f>
        <v>1948435</v>
      </c>
      <c r="L75" s="332">
        <f>IF(AND(OR(L11="1",L11="P"),'New Hire'!M28="Local"),ROUND(L127*L92,0),0)+'UAT2-Feb'!L73</f>
        <v>21919893</v>
      </c>
      <c r="M75" s="332">
        <f>IF(AND(OR(M11="1",M11="P"),'New Hire'!N28="Local"),ROUND(M127*M92,0),0)+'UAT2-Feb'!M73</f>
        <v>0</v>
      </c>
      <c r="N75" s="332">
        <f>IF(AND(OR(N11="1",N11="P"),'New Hire'!O28="Local"),ROUND(N127*N92,0),0)+'UAT2-Feb'!N73</f>
        <v>0</v>
      </c>
      <c r="O75" s="332">
        <f>IF(AND(OR(O11="1",O11="P"),'New Hire'!P28="Local"),ROUND(O127*O92,0),0)+'UAT2-Feb'!O73</f>
        <v>0</v>
      </c>
      <c r="P75" s="346">
        <f>SUM(B75:O75)</f>
        <v>32035786</v>
      </c>
      <c r="Q75" s="379"/>
      <c r="R75" s="379"/>
      <c r="S75" s="379"/>
      <c r="T75" s="379"/>
      <c r="U75" s="379"/>
      <c r="V75" s="49" t="s">
        <v>0</v>
      </c>
      <c r="W75" s="39">
        <v>91999914</v>
      </c>
      <c r="X75" s="80" t="s">
        <v>609</v>
      </c>
      <c r="Y75" s="80" t="s">
        <v>609</v>
      </c>
      <c r="Z75" s="60">
        <v>7850</v>
      </c>
      <c r="AA75" s="332">
        <v>4000000</v>
      </c>
      <c r="AB75" s="80"/>
      <c r="AC75" s="11"/>
    </row>
    <row r="76" spans="1:29">
      <c r="A76" s="445" t="s">
        <v>484</v>
      </c>
      <c r="B76" s="617">
        <f>'UAT2-Feb'!B74</f>
        <v>0</v>
      </c>
      <c r="C76" s="617">
        <f>'UAT2-Feb'!C74</f>
        <v>2.5</v>
      </c>
      <c r="D76" s="617">
        <f>'UAT2-Feb'!D74</f>
        <v>0</v>
      </c>
      <c r="E76" s="617">
        <f>'UAT2-Feb'!E74</f>
        <v>0</v>
      </c>
      <c r="F76" s="617">
        <f>'UAT2-Feb'!F74</f>
        <v>0</v>
      </c>
      <c r="G76" s="617">
        <f>'UAT2-Feb'!G74</f>
        <v>0</v>
      </c>
      <c r="H76" s="617">
        <f>'UAT2-Feb'!H74</f>
        <v>5</v>
      </c>
      <c r="I76" s="617">
        <f>'UAT2-Feb'!I74</f>
        <v>0.5</v>
      </c>
      <c r="J76" s="617">
        <f>'UAT2-Feb'!J74</f>
        <v>0</v>
      </c>
      <c r="K76" s="617">
        <f>'UAT2-Feb'!K74</f>
        <v>0</v>
      </c>
      <c r="L76" s="617">
        <f>'UAT2-Feb'!L74</f>
        <v>0</v>
      </c>
      <c r="M76" s="617">
        <f>'UAT2-Feb'!M74</f>
        <v>0</v>
      </c>
      <c r="N76" s="617">
        <f>'UAT2-Feb'!N74</f>
        <v>1.5</v>
      </c>
      <c r="O76" s="617">
        <f>'UAT2-Feb'!O74</f>
        <v>0</v>
      </c>
      <c r="P76" s="618">
        <f>SUM(B76:O76)</f>
        <v>9.5</v>
      </c>
      <c r="Q76" s="379"/>
      <c r="R76" s="379"/>
      <c r="S76" s="379"/>
      <c r="T76" s="379"/>
      <c r="U76" s="379"/>
      <c r="V76" s="49" t="s">
        <v>0</v>
      </c>
      <c r="W76" s="39">
        <v>91999907</v>
      </c>
      <c r="X76" s="80" t="s">
        <v>609</v>
      </c>
      <c r="Y76" s="80" t="s">
        <v>609</v>
      </c>
      <c r="Z76" s="60">
        <v>7850</v>
      </c>
      <c r="AA76" s="332">
        <v>300</v>
      </c>
      <c r="AB76" s="80" t="s">
        <v>618</v>
      </c>
      <c r="AC76" s="11"/>
    </row>
    <row r="77" spans="1:29">
      <c r="A77" s="445" t="s">
        <v>587</v>
      </c>
      <c r="B77" s="332">
        <f>B102+'UAT2-Feb'!B75</f>
        <v>27100000</v>
      </c>
      <c r="C77" s="332">
        <f>C102+'UAT2-Feb'!C75</f>
        <v>26610000</v>
      </c>
      <c r="D77" s="332">
        <f>D102+'UAT2-Feb'!D75</f>
        <v>36360000</v>
      </c>
      <c r="E77" s="332">
        <f>E102+'UAT2-Feb'!E75</f>
        <v>30600000</v>
      </c>
      <c r="F77" s="332">
        <f>F102+'UAT2-Feb'!F75</f>
        <v>45600000</v>
      </c>
      <c r="G77" s="332">
        <f>G102+'UAT2-Feb'!G75</f>
        <v>0</v>
      </c>
      <c r="H77" s="332">
        <f>H102+'UAT2-Feb'!H75</f>
        <v>413049000</v>
      </c>
      <c r="I77" s="332">
        <f>I102+'UAT2-Feb'!I75</f>
        <v>273122850</v>
      </c>
      <c r="J77" s="332">
        <f>J102+'UAT2-Feb'!J75</f>
        <v>195000000</v>
      </c>
      <c r="K77" s="332">
        <f>K102+'UAT2-Feb'!K75</f>
        <v>32660000</v>
      </c>
      <c r="L77" s="332">
        <f>L102+'UAT2-Feb'!L75</f>
        <v>270000000</v>
      </c>
      <c r="M77" s="332">
        <f>M102+'UAT2-Feb'!M75</f>
        <v>22500000</v>
      </c>
      <c r="N77" s="332">
        <f>N102+'UAT2-Feb'!N75</f>
        <v>27000000</v>
      </c>
      <c r="O77" s="400">
        <f>O102+'UAT2-Feb'!O75</f>
        <v>0</v>
      </c>
      <c r="P77" s="346">
        <f>SUM(B77:O77)</f>
        <v>1399601850</v>
      </c>
      <c r="Q77" s="379"/>
      <c r="R77" s="379"/>
      <c r="S77" s="379"/>
      <c r="T77" s="379"/>
      <c r="U77" s="379"/>
      <c r="V77" s="49" t="s">
        <v>0</v>
      </c>
      <c r="W77" s="39"/>
      <c r="X77" s="80"/>
      <c r="Y77" s="80"/>
      <c r="Z77" s="60"/>
      <c r="AA77" s="332"/>
      <c r="AB77" s="80"/>
      <c r="AC77" s="11"/>
    </row>
    <row r="78" spans="1:29">
      <c r="A78" s="412"/>
      <c r="B78" s="331"/>
      <c r="C78" s="332"/>
      <c r="D78" s="332"/>
      <c r="E78" s="340"/>
      <c r="F78" s="332"/>
      <c r="G78" s="332"/>
      <c r="H78" s="332"/>
      <c r="I78" s="332"/>
      <c r="J78" s="332"/>
      <c r="K78" s="340"/>
      <c r="L78" s="340"/>
      <c r="M78" s="340"/>
      <c r="N78" s="340"/>
      <c r="O78" s="401"/>
      <c r="P78" s="346"/>
      <c r="Q78" s="379"/>
      <c r="R78" s="379"/>
      <c r="S78" s="379"/>
      <c r="T78" s="379"/>
      <c r="U78" s="379"/>
      <c r="V78" s="49" t="s">
        <v>0</v>
      </c>
      <c r="W78" s="39"/>
      <c r="X78" s="80"/>
      <c r="Y78" s="80"/>
      <c r="Z78" s="60"/>
      <c r="AA78" s="332"/>
      <c r="AB78" s="80"/>
      <c r="AC78" s="11"/>
    </row>
    <row r="79" spans="1:29" ht="15.6">
      <c r="A79" s="411" t="s">
        <v>889</v>
      </c>
      <c r="B79" s="480"/>
      <c r="C79" s="480"/>
      <c r="D79" s="480"/>
      <c r="E79" s="480"/>
      <c r="F79" s="480"/>
      <c r="G79" s="480"/>
      <c r="H79" s="480"/>
      <c r="I79" s="480"/>
      <c r="J79" s="590"/>
      <c r="K79" s="480"/>
      <c r="L79" s="480"/>
      <c r="M79" s="480"/>
      <c r="N79" s="480"/>
      <c r="O79" s="588"/>
      <c r="P79" s="346"/>
      <c r="Q79" s="379"/>
      <c r="R79" s="379"/>
      <c r="S79" s="379"/>
      <c r="T79" s="379"/>
      <c r="U79" s="379"/>
      <c r="V79" s="32"/>
      <c r="W79" s="44"/>
      <c r="X79" s="13"/>
      <c r="Y79" s="13"/>
      <c r="Z79" s="13"/>
      <c r="AA79" s="362"/>
      <c r="AB79" s="13"/>
      <c r="AC79" s="18"/>
    </row>
    <row r="80" spans="1:29">
      <c r="A80" s="474" t="s">
        <v>885</v>
      </c>
      <c r="B80" s="340">
        <f t="shared" ref="B80:O80" si="25">B87*B115</f>
        <v>2307680</v>
      </c>
      <c r="C80" s="340">
        <f t="shared" si="25"/>
        <v>934632</v>
      </c>
      <c r="D80" s="340">
        <f t="shared" si="25"/>
        <v>3169010.95</v>
      </c>
      <c r="E80" s="340">
        <f t="shared" si="25"/>
        <v>4153840</v>
      </c>
      <c r="F80" s="340">
        <f t="shared" si="25"/>
        <v>5169216</v>
      </c>
      <c r="G80" s="340">
        <f t="shared" si="25"/>
        <v>0</v>
      </c>
      <c r="H80" s="340">
        <f t="shared" si="25"/>
        <v>26775000</v>
      </c>
      <c r="I80" s="340">
        <f t="shared" si="25"/>
        <v>0</v>
      </c>
      <c r="J80" s="453">
        <f t="shared" si="25"/>
        <v>6392317.9199999999</v>
      </c>
      <c r="K80" s="340">
        <f t="shared" si="25"/>
        <v>3692320</v>
      </c>
      <c r="L80" s="340">
        <f t="shared" si="25"/>
        <v>41538480</v>
      </c>
      <c r="M80" s="340">
        <f t="shared" si="25"/>
        <v>2307680</v>
      </c>
      <c r="N80" s="340">
        <f t="shared" si="25"/>
        <v>3000000</v>
      </c>
      <c r="O80" s="401">
        <f t="shared" si="25"/>
        <v>0</v>
      </c>
      <c r="P80" s="346">
        <f t="shared" ref="P80:P84" si="26">SUM(B80:O80)-J80</f>
        <v>93047858.950000003</v>
      </c>
      <c r="Q80" s="341"/>
      <c r="R80" s="341"/>
      <c r="S80" s="341"/>
      <c r="T80" s="341"/>
      <c r="U80" s="341"/>
      <c r="V80" s="32"/>
      <c r="W80" s="44"/>
      <c r="X80" s="13"/>
      <c r="Y80" s="13"/>
      <c r="Z80" s="13"/>
      <c r="AA80" s="362"/>
      <c r="AB80" s="13"/>
      <c r="AC80" s="18"/>
    </row>
    <row r="81" spans="1:29">
      <c r="A81" s="474" t="s">
        <v>886</v>
      </c>
      <c r="B81" s="340">
        <f t="shared" ref="B81:O81" si="27">B114*B87</f>
        <v>4615360</v>
      </c>
      <c r="C81" s="340">
        <f t="shared" si="27"/>
        <v>1869264</v>
      </c>
      <c r="D81" s="340">
        <f t="shared" si="27"/>
        <v>6337618.0499999998</v>
      </c>
      <c r="E81" s="340">
        <f t="shared" si="27"/>
        <v>8307680</v>
      </c>
      <c r="F81" s="340">
        <f t="shared" si="27"/>
        <v>10338432</v>
      </c>
      <c r="G81" s="340">
        <f t="shared" si="27"/>
        <v>0</v>
      </c>
      <c r="H81" s="340">
        <f t="shared" si="27"/>
        <v>53550000</v>
      </c>
      <c r="I81" s="340">
        <f t="shared" si="27"/>
        <v>0</v>
      </c>
      <c r="J81" s="453">
        <f t="shared" si="27"/>
        <v>12784635.84</v>
      </c>
      <c r="K81" s="340">
        <f t="shared" si="27"/>
        <v>7384640</v>
      </c>
      <c r="L81" s="340">
        <f t="shared" si="27"/>
        <v>83076960</v>
      </c>
      <c r="M81" s="340">
        <f t="shared" si="27"/>
        <v>4615360</v>
      </c>
      <c r="N81" s="340">
        <f t="shared" si="27"/>
        <v>6000000</v>
      </c>
      <c r="O81" s="401">
        <f t="shared" si="27"/>
        <v>0</v>
      </c>
      <c r="P81" s="346">
        <f t="shared" si="26"/>
        <v>186095314.04999998</v>
      </c>
      <c r="Q81" s="341"/>
      <c r="R81" s="341"/>
      <c r="S81" s="341"/>
      <c r="T81" s="341"/>
      <c r="U81" s="341"/>
      <c r="V81" s="42"/>
      <c r="W81" s="43"/>
      <c r="X81" s="13"/>
      <c r="Y81" s="13"/>
      <c r="Z81" s="61"/>
      <c r="AA81" s="362"/>
      <c r="AB81" s="13"/>
      <c r="AC81" s="18"/>
    </row>
    <row r="82" spans="1:29">
      <c r="A82" s="474" t="s">
        <v>928</v>
      </c>
      <c r="B82" s="340" t="e">
        <f>IF(OR(B18="A",B18="B"),ROUND(B141/12,0),ROUND(B141*$B$4/12,0))+'UAT2-Feb'!#REF!</f>
        <v>#REF!</v>
      </c>
      <c r="C82" s="340" t="e">
        <f>IF(OR(C18="A",C18="B"),ROUND(C141/12,0),ROUND(C141*$B$4/12,0))+'UAT2-Feb'!#REF!</f>
        <v>#REF!</v>
      </c>
      <c r="D82" s="340" t="e">
        <f>IF(OR(D18="A",D18="B"),ROUND(D141/12,0),ROUND(D141*$B$4/12,0))+'UAT2-Feb'!#REF!</f>
        <v>#REF!</v>
      </c>
      <c r="E82" s="340" t="e">
        <f>IF(OR(E18="A",E18="B"),ROUND(E141/12,0),ROUND(E141*$B$4/12,0))+'UAT2-Feb'!#REF!</f>
        <v>#REF!</v>
      </c>
      <c r="F82" s="340" t="e">
        <f>IF(OR(F18="A",F18="B"),ROUND(F141/12,0),ROUND(F141*$B$4/12,0))+'UAT2-Feb'!#REF!</f>
        <v>#REF!</v>
      </c>
      <c r="G82" s="340" t="e">
        <f>IF(OR(G18="A",G18="B"),ROUND(G141/12,0),ROUND(G141*$B$4/12,0))+'UAT2-Feb'!#REF!</f>
        <v>#REF!</v>
      </c>
      <c r="H82" s="340" t="e">
        <f>IF(OR(H18="A",H18="B"),ROUND(H141/12,0),ROUND(H141*$B$4/12,0))+'UAT2-Feb'!#REF!</f>
        <v>#REF!</v>
      </c>
      <c r="I82" s="340" t="e">
        <f>IF(OR(I18="A",I18="B"),ROUND(I141/12,0),ROUND(I141*$B$4/12,0))+'UAT2-Feb'!#REF!</f>
        <v>#REF!</v>
      </c>
      <c r="J82" s="340" t="e">
        <f>IF(OR(J18="A",J18="B"),ROUND(J141/12,0),ROUND(J141*$B$4/12,0))+'UAT2-Feb'!#REF!</f>
        <v>#REF!</v>
      </c>
      <c r="K82" s="340" t="e">
        <f>IF(OR(K18="A",K18="B"),ROUND(K141/12,0),ROUND(K141*$B$4/12,0))+'UAT2-Feb'!#REF!</f>
        <v>#REF!</v>
      </c>
      <c r="L82" s="340" t="e">
        <f>IF(OR(L18="A",L18="B"),ROUND(L141/12,0),ROUND(L141*$B$4/12,0))+'UAT2-Feb'!#REF!</f>
        <v>#REF!</v>
      </c>
      <c r="M82" s="340" t="e">
        <f>IF(OR(M18="A",M18="B"),ROUND(M141/12,0),ROUND(M141*$B$4/12,0))+'UAT2-Feb'!#REF!</f>
        <v>#REF!</v>
      </c>
      <c r="N82" s="340" t="e">
        <f>IF(OR(N18="A",N18="B"),ROUND(N141/12,0),ROUND(N141*$B$4/12,0))+'UAT2-Feb'!#REF!</f>
        <v>#REF!</v>
      </c>
      <c r="O82" s="401" t="e">
        <f>IF(OR(O18="A",O18="B"),ROUND(O141/12,0),ROUND(O141*$B$4/12,0))+'UAT2-Feb'!#REF!</f>
        <v>#REF!</v>
      </c>
      <c r="P82" s="346" t="e">
        <f t="shared" si="26"/>
        <v>#REF!</v>
      </c>
      <c r="Q82" s="341"/>
      <c r="R82" s="341"/>
      <c r="S82" s="341"/>
      <c r="T82" s="341"/>
      <c r="U82" s="341"/>
      <c r="V82" s="24" t="s">
        <v>57</v>
      </c>
      <c r="W82" s="37" t="s">
        <v>67</v>
      </c>
      <c r="X82" s="37" t="s">
        <v>69</v>
      </c>
      <c r="Y82" s="37" t="s">
        <v>70</v>
      </c>
      <c r="Z82" s="62" t="s">
        <v>425</v>
      </c>
      <c r="AA82" s="363" t="s">
        <v>426</v>
      </c>
      <c r="AB82" s="37" t="s">
        <v>56</v>
      </c>
      <c r="AC82" s="38"/>
    </row>
    <row r="83" spans="1:29">
      <c r="A83" s="474" t="s">
        <v>887</v>
      </c>
      <c r="B83" s="340"/>
      <c r="C83" s="340">
        <f>ROUND((C127+C133+C134)/12*AB37*C15/261,0)</f>
        <v>2293</v>
      </c>
      <c r="D83" s="340"/>
      <c r="E83" s="340"/>
      <c r="F83" s="340"/>
      <c r="G83" s="340"/>
      <c r="H83" s="340">
        <f>ROUND((H127*$B$4+H133+H134)/12*AB38*H15/261,0)</f>
        <v>435649</v>
      </c>
      <c r="I83" s="340"/>
      <c r="J83" s="453"/>
      <c r="K83" s="340"/>
      <c r="L83" s="340"/>
      <c r="M83" s="340"/>
      <c r="N83" s="340"/>
      <c r="O83" s="401"/>
      <c r="P83" s="346">
        <f t="shared" si="26"/>
        <v>437942</v>
      </c>
      <c r="Q83" s="341"/>
      <c r="R83" s="341"/>
      <c r="S83" s="341"/>
      <c r="T83" s="341"/>
      <c r="U83" s="341"/>
      <c r="V83" s="49" t="s">
        <v>424</v>
      </c>
      <c r="W83" s="353">
        <v>91999906</v>
      </c>
      <c r="X83" s="289" t="s">
        <v>689</v>
      </c>
      <c r="Y83" s="289" t="s">
        <v>689</v>
      </c>
      <c r="Z83" s="292">
        <v>0.375</v>
      </c>
      <c r="AA83" s="292">
        <v>0.47916666666666669</v>
      </c>
      <c r="AB83" s="290">
        <v>9180</v>
      </c>
      <c r="AC83" s="479">
        <v>2.5</v>
      </c>
    </row>
    <row r="84" spans="1:29">
      <c r="A84" s="474" t="s">
        <v>888</v>
      </c>
      <c r="B84" s="340">
        <f t="shared" ref="B84:O84" si="28">IF(OR(B18="A",B18="B"),ROUND(B76*B127*50%,0),ROUND(B76*B127*$B$4*50%,0))</f>
        <v>0</v>
      </c>
      <c r="C84" s="340">
        <f t="shared" si="28"/>
        <v>5625000</v>
      </c>
      <c r="D84" s="340">
        <f t="shared" si="28"/>
        <v>0</v>
      </c>
      <c r="E84" s="340">
        <f t="shared" si="28"/>
        <v>0</v>
      </c>
      <c r="F84" s="340">
        <f t="shared" si="28"/>
        <v>0</v>
      </c>
      <c r="G84" s="340">
        <f t="shared" si="28"/>
        <v>0</v>
      </c>
      <c r="H84" s="340">
        <f t="shared" si="28"/>
        <v>290062500</v>
      </c>
      <c r="I84" s="340">
        <f t="shared" si="28"/>
        <v>23205000</v>
      </c>
      <c r="J84" s="340">
        <f t="shared" si="28"/>
        <v>0</v>
      </c>
      <c r="K84" s="340">
        <f t="shared" si="28"/>
        <v>0</v>
      </c>
      <c r="L84" s="340">
        <f t="shared" si="28"/>
        <v>0</v>
      </c>
      <c r="M84" s="340">
        <f t="shared" si="28"/>
        <v>0</v>
      </c>
      <c r="N84" s="340">
        <f t="shared" si="28"/>
        <v>4875000</v>
      </c>
      <c r="O84" s="401">
        <f t="shared" si="28"/>
        <v>0</v>
      </c>
      <c r="P84" s="346">
        <f t="shared" si="26"/>
        <v>323767500</v>
      </c>
      <c r="Q84" s="341"/>
      <c r="R84" s="341"/>
      <c r="S84" s="341"/>
      <c r="T84" s="341"/>
      <c r="U84" s="341"/>
      <c r="V84" s="49" t="s">
        <v>423</v>
      </c>
      <c r="W84" s="353">
        <v>91999906</v>
      </c>
      <c r="X84" s="289" t="s">
        <v>690</v>
      </c>
      <c r="Y84" s="289" t="s">
        <v>690</v>
      </c>
      <c r="Z84" s="292">
        <v>0.375</v>
      </c>
      <c r="AA84" s="292">
        <v>0.47916666666666669</v>
      </c>
      <c r="AB84" s="290">
        <v>9180</v>
      </c>
      <c r="AC84" s="479">
        <v>2.5</v>
      </c>
    </row>
    <row r="85" spans="1:29">
      <c r="A85" s="474"/>
      <c r="B85" s="480"/>
      <c r="C85" s="480"/>
      <c r="D85" s="480"/>
      <c r="E85" s="480"/>
      <c r="F85" s="480"/>
      <c r="G85" s="480"/>
      <c r="H85" s="480"/>
      <c r="I85" s="480"/>
      <c r="J85" s="590"/>
      <c r="K85" s="480"/>
      <c r="L85" s="480"/>
      <c r="M85" s="480"/>
      <c r="N85" s="480"/>
      <c r="O85" s="588"/>
      <c r="P85" s="346"/>
      <c r="Q85" s="347"/>
      <c r="R85" s="347"/>
      <c r="S85" s="347"/>
      <c r="T85" s="347"/>
      <c r="U85" s="347"/>
      <c r="V85" s="49" t="s">
        <v>423</v>
      </c>
      <c r="W85" s="353">
        <v>91999914</v>
      </c>
      <c r="X85" s="289" t="s">
        <v>691</v>
      </c>
      <c r="Y85" s="289" t="s">
        <v>691</v>
      </c>
      <c r="Z85" s="292">
        <v>0.375</v>
      </c>
      <c r="AA85" s="292">
        <v>0.47916666666666669</v>
      </c>
      <c r="AB85" s="290">
        <v>9180</v>
      </c>
      <c r="AC85" s="479">
        <v>2.5</v>
      </c>
    </row>
    <row r="86" spans="1:29" ht="15.6">
      <c r="A86" s="411" t="s">
        <v>485</v>
      </c>
      <c r="B86" s="331"/>
      <c r="C86" s="332"/>
      <c r="D86" s="332"/>
      <c r="E86" s="340"/>
      <c r="F86" s="332"/>
      <c r="G86" s="332"/>
      <c r="H86" s="332"/>
      <c r="I86" s="332"/>
      <c r="J86" s="332"/>
      <c r="K86" s="340"/>
      <c r="L86" s="340"/>
      <c r="M86" s="340"/>
      <c r="N86" s="340"/>
      <c r="O86" s="401"/>
      <c r="P86" s="346"/>
      <c r="Q86" s="347"/>
      <c r="R86" s="347"/>
      <c r="S86" s="347"/>
      <c r="T86" s="347"/>
      <c r="U86" s="347"/>
      <c r="V86" s="49" t="s">
        <v>423</v>
      </c>
      <c r="W86" s="353">
        <v>91999914</v>
      </c>
      <c r="X86" s="289" t="s">
        <v>692</v>
      </c>
      <c r="Y86" s="289" t="s">
        <v>692</v>
      </c>
      <c r="Z86" s="292">
        <v>0.375</v>
      </c>
      <c r="AA86" s="292">
        <v>0.47916666666666669</v>
      </c>
      <c r="AB86" s="290">
        <v>9180</v>
      </c>
      <c r="AC86" s="479">
        <v>2.5</v>
      </c>
    </row>
    <row r="87" spans="1:29">
      <c r="A87" s="445" t="s">
        <v>490</v>
      </c>
      <c r="B87" s="332">
        <f t="shared" ref="B87:O87" si="29">IF(OR(B18="A",B18="B"),IF(B11&lt;&gt;"C",ROUND(B127*12/52/40,0),B128),IF(B11&lt;&gt;"C",ROUND(B127*$B$4*12/52/40,0),B128*$B$4))</f>
        <v>28846</v>
      </c>
      <c r="C87" s="332">
        <f t="shared" si="29"/>
        <v>25962</v>
      </c>
      <c r="D87" s="332">
        <f t="shared" si="29"/>
        <v>40385</v>
      </c>
      <c r="E87" s="332">
        <f t="shared" si="29"/>
        <v>51923</v>
      </c>
      <c r="F87" s="332">
        <f t="shared" si="29"/>
        <v>80769</v>
      </c>
      <c r="G87" s="332">
        <f t="shared" si="29"/>
        <v>4641000</v>
      </c>
      <c r="H87" s="332">
        <f t="shared" si="29"/>
        <v>669375</v>
      </c>
      <c r="I87" s="332">
        <f t="shared" si="29"/>
        <v>535500</v>
      </c>
      <c r="J87" s="332">
        <f t="shared" si="29"/>
        <v>288462</v>
      </c>
      <c r="K87" s="332">
        <f t="shared" si="29"/>
        <v>46154</v>
      </c>
      <c r="L87" s="332">
        <f t="shared" si="29"/>
        <v>519231</v>
      </c>
      <c r="M87" s="332">
        <f t="shared" si="29"/>
        <v>28846</v>
      </c>
      <c r="N87" s="332">
        <f t="shared" si="29"/>
        <v>37500</v>
      </c>
      <c r="O87" s="332">
        <f t="shared" si="29"/>
        <v>800000</v>
      </c>
      <c r="P87" s="346">
        <f t="shared" ref="P87:P95" si="30">SUM(B87:O87)</f>
        <v>7793953</v>
      </c>
      <c r="Q87" s="347"/>
      <c r="R87" s="347"/>
      <c r="S87" s="347"/>
      <c r="T87" s="347"/>
      <c r="U87" s="347"/>
      <c r="V87" s="49" t="s">
        <v>423</v>
      </c>
      <c r="W87" s="39"/>
      <c r="X87" s="354"/>
      <c r="Y87" s="354"/>
      <c r="Z87" s="292"/>
      <c r="AA87" s="364"/>
      <c r="AB87" s="290"/>
      <c r="AC87" s="12"/>
    </row>
    <row r="88" spans="1:29">
      <c r="A88" s="445" t="s">
        <v>501</v>
      </c>
      <c r="B88" s="332">
        <f t="shared" ref="B88:O88" si="31">IF(OR(B18="A",B18="B"),ROUND(SUM(B127:B130,B132)*12/52/5*B13%,0),ROUND(SUM(B127:B130,B132)*12/52/5*$B$4*B13%,0))</f>
        <v>300000</v>
      </c>
      <c r="C88" s="332">
        <f t="shared" si="31"/>
        <v>135000</v>
      </c>
      <c r="D88" s="332">
        <f t="shared" si="31"/>
        <v>420000</v>
      </c>
      <c r="E88" s="332">
        <f t="shared" si="31"/>
        <v>415385</v>
      </c>
      <c r="F88" s="332">
        <f t="shared" si="31"/>
        <v>646154</v>
      </c>
      <c r="G88" s="332">
        <f t="shared" si="31"/>
        <v>214200</v>
      </c>
      <c r="H88" s="332">
        <f t="shared" si="31"/>
        <v>3480750</v>
      </c>
      <c r="I88" s="332">
        <f t="shared" si="31"/>
        <v>4284000</v>
      </c>
      <c r="J88" s="332">
        <f t="shared" si="31"/>
        <v>1500000</v>
      </c>
      <c r="K88" s="332">
        <f t="shared" si="31"/>
        <v>480000</v>
      </c>
      <c r="L88" s="332">
        <f t="shared" si="31"/>
        <v>4153846</v>
      </c>
      <c r="M88" s="332">
        <f t="shared" si="31"/>
        <v>346154</v>
      </c>
      <c r="N88" s="332">
        <f t="shared" si="31"/>
        <v>415385</v>
      </c>
      <c r="O88" s="332">
        <f t="shared" si="31"/>
        <v>36923</v>
      </c>
      <c r="P88" s="346">
        <f t="shared" si="30"/>
        <v>16827797</v>
      </c>
      <c r="Q88" s="347"/>
      <c r="R88" s="347"/>
      <c r="S88" s="347"/>
      <c r="T88" s="347"/>
      <c r="U88" s="347"/>
      <c r="V88" s="33"/>
      <c r="W88" s="45"/>
      <c r="X88" s="13"/>
      <c r="Y88" s="13"/>
      <c r="Z88" s="13"/>
      <c r="AA88" s="13"/>
      <c r="AB88" s="13"/>
      <c r="AC88" s="18"/>
    </row>
    <row r="89" spans="1:29">
      <c r="A89" s="445" t="s">
        <v>502</v>
      </c>
      <c r="B89" s="332">
        <f t="shared" ref="B89:O89" si="32">IF(OR(B18="A",B18="B"),ROUND(B127/B15,0),ROUND(B127*$B$4/B15,0))</f>
        <v>238095</v>
      </c>
      <c r="C89" s="332">
        <f t="shared" si="32"/>
        <v>214286</v>
      </c>
      <c r="D89" s="332">
        <f t="shared" si="32"/>
        <v>333333</v>
      </c>
      <c r="E89" s="332">
        <f t="shared" si="32"/>
        <v>428571</v>
      </c>
      <c r="F89" s="332">
        <f t="shared" si="32"/>
        <v>666667</v>
      </c>
      <c r="G89" s="332">
        <f t="shared" si="32"/>
        <v>0</v>
      </c>
      <c r="H89" s="332">
        <f t="shared" si="32"/>
        <v>5525000</v>
      </c>
      <c r="I89" s="332">
        <f t="shared" si="32"/>
        <v>4420000</v>
      </c>
      <c r="J89" s="332">
        <f t="shared" si="32"/>
        <v>2380952</v>
      </c>
      <c r="K89" s="332">
        <f t="shared" si="32"/>
        <v>380952</v>
      </c>
      <c r="L89" s="332">
        <f t="shared" si="32"/>
        <v>4285714</v>
      </c>
      <c r="M89" s="332">
        <f t="shared" si="32"/>
        <v>238095</v>
      </c>
      <c r="N89" s="332">
        <f t="shared" si="32"/>
        <v>309524</v>
      </c>
      <c r="O89" s="332">
        <f t="shared" si="32"/>
        <v>0</v>
      </c>
      <c r="P89" s="346">
        <f t="shared" si="30"/>
        <v>19421189</v>
      </c>
      <c r="Q89" s="347"/>
      <c r="R89" s="347"/>
      <c r="S89" s="347"/>
      <c r="T89" s="347"/>
      <c r="U89" s="347"/>
      <c r="V89" s="33"/>
      <c r="W89" s="45"/>
      <c r="X89" s="13"/>
      <c r="Y89" s="13"/>
      <c r="Z89" s="13"/>
      <c r="AA89" s="13"/>
      <c r="AB89" s="13"/>
      <c r="AC89" s="18"/>
    </row>
    <row r="90" spans="1:29">
      <c r="A90" s="445" t="s">
        <v>628</v>
      </c>
      <c r="B90" s="332">
        <f t="shared" ref="B90:O90" si="33">IF(OR(B18="A",B18="B"),ROUND(SUM(B129:B131,B133:B135)/B15,0),ROUND(SUM(B129:B131,B133:B135)*$B$4/B15,0))</f>
        <v>71429</v>
      </c>
      <c r="C90" s="332">
        <f t="shared" si="33"/>
        <v>64286</v>
      </c>
      <c r="D90" s="332">
        <f t="shared" si="33"/>
        <v>100000</v>
      </c>
      <c r="E90" s="332">
        <f t="shared" si="33"/>
        <v>0</v>
      </c>
      <c r="F90" s="332">
        <f t="shared" si="33"/>
        <v>0</v>
      </c>
      <c r="G90" s="332">
        <f t="shared" si="33"/>
        <v>0</v>
      </c>
      <c r="H90" s="332">
        <f t="shared" si="33"/>
        <v>1657500</v>
      </c>
      <c r="I90" s="332">
        <f t="shared" si="33"/>
        <v>0</v>
      </c>
      <c r="J90" s="332">
        <f t="shared" si="33"/>
        <v>714286</v>
      </c>
      <c r="K90" s="332">
        <f t="shared" si="33"/>
        <v>114286</v>
      </c>
      <c r="L90" s="332">
        <f t="shared" si="33"/>
        <v>0</v>
      </c>
      <c r="M90" s="332">
        <f t="shared" si="33"/>
        <v>119048</v>
      </c>
      <c r="N90" s="332">
        <f t="shared" si="33"/>
        <v>119048</v>
      </c>
      <c r="O90" s="332">
        <f t="shared" si="33"/>
        <v>0</v>
      </c>
      <c r="P90" s="346">
        <f t="shared" si="30"/>
        <v>2959883</v>
      </c>
      <c r="Q90" s="347"/>
      <c r="R90" s="347"/>
      <c r="S90" s="347"/>
      <c r="T90" s="347"/>
      <c r="U90" s="347"/>
      <c r="V90" s="33"/>
      <c r="W90" s="45"/>
      <c r="X90" s="13"/>
      <c r="Y90" s="13"/>
      <c r="Z90" s="13"/>
      <c r="AA90" s="13"/>
      <c r="AB90" s="13"/>
      <c r="AC90" s="18"/>
    </row>
    <row r="91" spans="1:29">
      <c r="A91" s="445" t="s">
        <v>503</v>
      </c>
      <c r="B91" s="7">
        <f t="shared" ref="B91:O91" si="34">B14/B15*100%</f>
        <v>1</v>
      </c>
      <c r="C91" s="7">
        <f t="shared" si="34"/>
        <v>1</v>
      </c>
      <c r="D91" s="7">
        <f t="shared" si="34"/>
        <v>1</v>
      </c>
      <c r="E91" s="7">
        <f t="shared" si="34"/>
        <v>1</v>
      </c>
      <c r="F91" s="7">
        <f t="shared" si="34"/>
        <v>1</v>
      </c>
      <c r="G91" s="7">
        <f t="shared" si="34"/>
        <v>1</v>
      </c>
      <c r="H91" s="7">
        <f t="shared" si="34"/>
        <v>1</v>
      </c>
      <c r="I91" s="7">
        <f t="shared" si="34"/>
        <v>1</v>
      </c>
      <c r="J91" s="7">
        <f t="shared" si="34"/>
        <v>1</v>
      </c>
      <c r="K91" s="7">
        <f t="shared" si="34"/>
        <v>1</v>
      </c>
      <c r="L91" s="7">
        <f t="shared" si="34"/>
        <v>1</v>
      </c>
      <c r="M91" s="7">
        <f t="shared" si="34"/>
        <v>1</v>
      </c>
      <c r="N91" s="7">
        <f t="shared" si="34"/>
        <v>1</v>
      </c>
      <c r="O91" s="12">
        <f t="shared" si="34"/>
        <v>1</v>
      </c>
      <c r="P91" s="346">
        <f t="shared" si="30"/>
        <v>14</v>
      </c>
      <c r="Q91" s="348"/>
      <c r="R91" s="348"/>
      <c r="S91" s="348"/>
      <c r="T91" s="348"/>
      <c r="U91" s="348"/>
      <c r="V91" s="32"/>
      <c r="W91" s="44"/>
      <c r="X91" s="13"/>
      <c r="Y91" s="13"/>
      <c r="Z91" s="13"/>
      <c r="AA91" s="13"/>
      <c r="AB91" s="13"/>
      <c r="AC91" s="18"/>
    </row>
    <row r="92" spans="1:29">
      <c r="A92" s="445" t="s">
        <v>504</v>
      </c>
      <c r="B92" s="7">
        <f t="shared" ref="B92:O92" si="35">(B14-B136)/261*100%</f>
        <v>8.0459770114942528E-2</v>
      </c>
      <c r="C92" s="7">
        <f t="shared" si="35"/>
        <v>8.0459770114942528E-2</v>
      </c>
      <c r="D92" s="7">
        <f t="shared" si="35"/>
        <v>8.0459770114942528E-2</v>
      </c>
      <c r="E92" s="7">
        <f t="shared" si="35"/>
        <v>8.0459770114942528E-2</v>
      </c>
      <c r="F92" s="7">
        <f t="shared" si="35"/>
        <v>8.0459770114942528E-2</v>
      </c>
      <c r="G92" s="7">
        <f t="shared" si="35"/>
        <v>8.0459770114942528E-2</v>
      </c>
      <c r="H92" s="7">
        <f t="shared" si="35"/>
        <v>8.0459770114942528E-2</v>
      </c>
      <c r="I92" s="7">
        <f t="shared" si="35"/>
        <v>8.0459770114942528E-2</v>
      </c>
      <c r="J92" s="7">
        <f t="shared" si="35"/>
        <v>8.0459770114942528E-2</v>
      </c>
      <c r="K92" s="7">
        <f t="shared" si="35"/>
        <v>8.0459770114942528E-2</v>
      </c>
      <c r="L92" s="7">
        <f t="shared" si="35"/>
        <v>8.0459770114942528E-2</v>
      </c>
      <c r="M92" s="7">
        <f t="shared" si="35"/>
        <v>8.0459770114942528E-2</v>
      </c>
      <c r="N92" s="7">
        <f t="shared" si="35"/>
        <v>8.0459770114942528E-2</v>
      </c>
      <c r="O92" s="7">
        <f t="shared" si="35"/>
        <v>8.0459770114942528E-2</v>
      </c>
      <c r="P92" s="346">
        <f t="shared" si="30"/>
        <v>1.1264367816091954</v>
      </c>
      <c r="Q92" s="347"/>
      <c r="R92" s="347"/>
      <c r="S92" s="347"/>
      <c r="T92" s="347"/>
      <c r="U92" s="347"/>
      <c r="V92" s="34"/>
      <c r="W92" s="46"/>
      <c r="X92" s="35"/>
      <c r="Y92" s="35"/>
      <c r="Z92" s="35"/>
      <c r="AA92" s="35"/>
      <c r="AB92" s="35"/>
      <c r="AC92" s="36"/>
    </row>
    <row r="93" spans="1:29">
      <c r="A93" s="445" t="s">
        <v>505</v>
      </c>
      <c r="B93" s="7">
        <f t="shared" ref="B93:O93" si="36">B138/B15*100%</f>
        <v>0</v>
      </c>
      <c r="C93" s="7">
        <f t="shared" si="36"/>
        <v>0</v>
      </c>
      <c r="D93" s="7">
        <f t="shared" si="36"/>
        <v>0</v>
      </c>
      <c r="E93" s="7">
        <f t="shared" si="36"/>
        <v>0</v>
      </c>
      <c r="F93" s="7">
        <f t="shared" si="36"/>
        <v>0</v>
      </c>
      <c r="G93" s="7">
        <f t="shared" si="36"/>
        <v>0</v>
      </c>
      <c r="H93" s="7">
        <f t="shared" si="36"/>
        <v>0</v>
      </c>
      <c r="I93" s="7">
        <f t="shared" si="36"/>
        <v>0</v>
      </c>
      <c r="J93" s="7">
        <f t="shared" si="36"/>
        <v>0</v>
      </c>
      <c r="K93" s="7">
        <f t="shared" si="36"/>
        <v>0</v>
      </c>
      <c r="L93" s="7">
        <f t="shared" si="36"/>
        <v>0</v>
      </c>
      <c r="M93" s="7">
        <f t="shared" si="36"/>
        <v>0</v>
      </c>
      <c r="N93" s="7">
        <f t="shared" si="36"/>
        <v>0</v>
      </c>
      <c r="O93" s="12">
        <f t="shared" si="36"/>
        <v>0</v>
      </c>
      <c r="P93" s="346">
        <f t="shared" si="30"/>
        <v>0</v>
      </c>
      <c r="Q93" s="347"/>
      <c r="R93" s="347"/>
      <c r="S93" s="347"/>
      <c r="T93" s="347"/>
      <c r="U93" s="347"/>
    </row>
    <row r="94" spans="1:29">
      <c r="A94" s="415" t="s">
        <v>494</v>
      </c>
      <c r="B94" s="331">
        <f>ROUND(AA23*B16/365,0)</f>
        <v>679452</v>
      </c>
      <c r="C94" s="332">
        <f>ROUND(AA24*C16/365,0)</f>
        <v>679452</v>
      </c>
      <c r="E94" s="332">
        <f>ROUND(AA25*E16/365,0)</f>
        <v>679452</v>
      </c>
      <c r="F94" s="332">
        <f>ROUND(AA26*F16/365,0)</f>
        <v>679452</v>
      </c>
      <c r="G94" s="332"/>
      <c r="H94" s="332">
        <f>ROUND(AA27*G16/365,0)</f>
        <v>679452</v>
      </c>
      <c r="I94" s="332"/>
      <c r="J94" s="332"/>
      <c r="K94" s="340"/>
      <c r="L94" s="340"/>
      <c r="M94" s="340"/>
      <c r="N94" s="340"/>
      <c r="O94" s="401"/>
      <c r="P94" s="346">
        <f t="shared" si="30"/>
        <v>3397260</v>
      </c>
      <c r="Q94" s="347"/>
      <c r="R94" s="347"/>
      <c r="S94" s="347"/>
      <c r="T94" s="347"/>
      <c r="U94" s="347"/>
      <c r="V94"/>
      <c r="W94"/>
      <c r="X94"/>
      <c r="Y94"/>
      <c r="Z94"/>
      <c r="AA94"/>
      <c r="AB94"/>
      <c r="AC94"/>
    </row>
    <row r="95" spans="1:29">
      <c r="A95" s="412" t="s">
        <v>536</v>
      </c>
      <c r="B95" s="331"/>
      <c r="C95" s="332"/>
      <c r="E95" s="332"/>
      <c r="F95" s="332"/>
      <c r="G95" s="332"/>
      <c r="H95" s="332">
        <f>ROUND(AA32*G16/365,0)</f>
        <v>594521</v>
      </c>
      <c r="I95" s="332"/>
      <c r="J95" s="332"/>
      <c r="K95" s="332"/>
      <c r="L95" s="332"/>
      <c r="M95" s="332"/>
      <c r="N95" s="332"/>
      <c r="O95" s="400"/>
      <c r="P95" s="346">
        <f t="shared" si="30"/>
        <v>594521</v>
      </c>
      <c r="Q95" s="347"/>
      <c r="R95" s="347"/>
      <c r="S95" s="347"/>
      <c r="T95" s="347"/>
      <c r="U95" s="347"/>
      <c r="V95"/>
      <c r="W95"/>
      <c r="X95"/>
      <c r="Y95"/>
      <c r="Z95"/>
      <c r="AA95"/>
      <c r="AB95"/>
      <c r="AC95"/>
    </row>
    <row r="96" spans="1:29">
      <c r="A96" s="412" t="s">
        <v>613</v>
      </c>
      <c r="B96" s="402"/>
      <c r="C96" s="80"/>
      <c r="D96" s="332"/>
      <c r="E96" s="332"/>
      <c r="F96" s="332"/>
      <c r="G96" s="332"/>
      <c r="H96" s="332">
        <f>AA33*B4</f>
        <v>2320500</v>
      </c>
      <c r="I96" s="332">
        <f>AA34*B4</f>
        <v>2320500</v>
      </c>
      <c r="J96" s="332"/>
      <c r="K96" s="340"/>
      <c r="L96" s="340"/>
      <c r="M96" s="340"/>
      <c r="N96" s="340"/>
      <c r="O96" s="401"/>
      <c r="P96" s="355">
        <f>SUM(D96:O96)</f>
        <v>4641000</v>
      </c>
      <c r="Q96" s="379"/>
      <c r="R96" s="379"/>
      <c r="S96" s="379"/>
      <c r="T96" s="379"/>
      <c r="U96" s="379"/>
      <c r="V96"/>
      <c r="W96"/>
      <c r="X96"/>
      <c r="Y96"/>
      <c r="Z96"/>
      <c r="AA96"/>
      <c r="AB96"/>
      <c r="AC96"/>
    </row>
    <row r="97" spans="1:29">
      <c r="A97" s="412" t="s">
        <v>614</v>
      </c>
      <c r="B97" s="402"/>
      <c r="C97" s="80"/>
      <c r="D97" s="332"/>
      <c r="E97" s="332"/>
      <c r="F97" s="332"/>
      <c r="G97" s="332"/>
      <c r="H97" s="332">
        <f>AA35*B4</f>
        <v>4641000</v>
      </c>
      <c r="I97" s="332">
        <f>AA36*B4</f>
        <v>4641000</v>
      </c>
      <c r="J97" s="332"/>
      <c r="K97" s="340"/>
      <c r="L97" s="340"/>
      <c r="M97" s="340"/>
      <c r="N97" s="340"/>
      <c r="O97" s="401"/>
      <c r="P97" s="355">
        <f>SUM(D97:O97)</f>
        <v>9282000</v>
      </c>
      <c r="Q97" s="379"/>
      <c r="R97" s="379"/>
      <c r="S97" s="379"/>
      <c r="T97" s="379"/>
      <c r="U97" s="379"/>
      <c r="V97"/>
      <c r="W97"/>
      <c r="X97"/>
      <c r="Y97"/>
      <c r="Z97"/>
      <c r="AA97"/>
      <c r="AB97"/>
      <c r="AC97"/>
    </row>
    <row r="98" spans="1:29">
      <c r="A98" s="412"/>
      <c r="B98" s="331"/>
      <c r="C98" s="332"/>
      <c r="D98" s="332"/>
      <c r="E98" s="340"/>
      <c r="F98" s="332"/>
      <c r="G98" s="332"/>
      <c r="H98" s="332"/>
      <c r="I98" s="332"/>
      <c r="J98" s="332"/>
      <c r="K98" s="340"/>
      <c r="L98" s="340"/>
      <c r="M98" s="340"/>
      <c r="N98" s="340"/>
      <c r="O98" s="401"/>
      <c r="P98" s="346"/>
      <c r="Q98" s="347"/>
      <c r="R98" s="347"/>
      <c r="S98" s="347"/>
      <c r="T98" s="347"/>
      <c r="U98" s="347"/>
      <c r="V98"/>
      <c r="W98"/>
      <c r="X98"/>
      <c r="Y98"/>
      <c r="Z98"/>
      <c r="AA98"/>
      <c r="AB98"/>
      <c r="AC98"/>
    </row>
    <row r="99" spans="1:29">
      <c r="A99" s="412" t="s">
        <v>579</v>
      </c>
      <c r="B99" s="331">
        <f t="shared" ref="B99:O99" si="37">SUM(B24:B37)</f>
        <v>16500000</v>
      </c>
      <c r="C99" s="332">
        <f t="shared" si="37"/>
        <v>15850000</v>
      </c>
      <c r="D99" s="332">
        <f t="shared" si="37"/>
        <v>19100000</v>
      </c>
      <c r="E99" s="332">
        <f t="shared" si="37"/>
        <v>89000000</v>
      </c>
      <c r="F99" s="332">
        <f t="shared" si="37"/>
        <v>25602500</v>
      </c>
      <c r="G99" s="332">
        <f t="shared" si="37"/>
        <v>185640000</v>
      </c>
      <c r="H99" s="332">
        <f t="shared" si="37"/>
        <v>164755500</v>
      </c>
      <c r="I99" s="332">
        <f t="shared" si="37"/>
        <v>1501479525</v>
      </c>
      <c r="J99" s="332">
        <f t="shared" si="37"/>
        <v>71000000</v>
      </c>
      <c r="K99" s="332">
        <f t="shared" si="37"/>
        <v>10400000</v>
      </c>
      <c r="L99" s="332">
        <f t="shared" si="37"/>
        <v>90000000</v>
      </c>
      <c r="M99" s="332">
        <f t="shared" si="37"/>
        <v>7500000</v>
      </c>
      <c r="N99" s="332">
        <f t="shared" si="37"/>
        <v>9000000</v>
      </c>
      <c r="O99" s="400">
        <f t="shared" si="37"/>
        <v>4000000</v>
      </c>
      <c r="P99" s="346">
        <f t="shared" ref="P99:P104" si="38">SUM(B99:O99)</f>
        <v>2209827525</v>
      </c>
      <c r="Q99" s="347"/>
      <c r="R99" s="347"/>
      <c r="S99" s="347"/>
      <c r="T99" s="347"/>
      <c r="U99" s="347"/>
      <c r="V99"/>
      <c r="W99"/>
      <c r="X99"/>
      <c r="Y99"/>
      <c r="Z99"/>
      <c r="AA99"/>
      <c r="AB99"/>
      <c r="AC99"/>
    </row>
    <row r="100" spans="1:29">
      <c r="A100" s="445" t="s">
        <v>580</v>
      </c>
      <c r="B100" s="332">
        <f>SUM(B24:B34,B41,B42)</f>
        <v>17380722</v>
      </c>
      <c r="C100" s="332">
        <f t="shared" ref="C100:O100" si="39">SUM(C24:C34,C41,C42)</f>
        <v>16931992</v>
      </c>
      <c r="D100" s="332">
        <f t="shared" si="39"/>
        <v>9100000</v>
      </c>
      <c r="E100" s="332">
        <f t="shared" si="39"/>
        <v>89981357</v>
      </c>
      <c r="F100" s="332">
        <f t="shared" si="39"/>
        <v>26281952</v>
      </c>
      <c r="G100" s="332">
        <f t="shared" si="39"/>
        <v>185640000</v>
      </c>
      <c r="H100" s="332">
        <f t="shared" si="39"/>
        <v>171657794</v>
      </c>
      <c r="I100" s="332">
        <f t="shared" si="39"/>
        <v>212325750</v>
      </c>
      <c r="J100" s="332">
        <f t="shared" si="39"/>
        <v>71000000</v>
      </c>
      <c r="K100" s="332">
        <f t="shared" si="39"/>
        <v>10400000</v>
      </c>
      <c r="L100" s="332">
        <f t="shared" si="39"/>
        <v>90000000</v>
      </c>
      <c r="M100" s="332">
        <f t="shared" si="39"/>
        <v>7500000</v>
      </c>
      <c r="N100" s="332">
        <f t="shared" si="39"/>
        <v>9000000</v>
      </c>
      <c r="O100" s="332">
        <f t="shared" si="39"/>
        <v>4000000</v>
      </c>
      <c r="P100" s="346">
        <f t="shared" si="38"/>
        <v>921199567</v>
      </c>
      <c r="Q100" s="347"/>
      <c r="R100" s="347"/>
      <c r="S100" s="347"/>
      <c r="T100" s="347"/>
      <c r="U100" s="347"/>
    </row>
    <row r="101" spans="1:29">
      <c r="A101" s="445" t="s">
        <v>581</v>
      </c>
      <c r="B101" s="332">
        <f>IF(B14&gt;B15/2,IF(OR(B18="A",B18="B"),SUM(B127,B129,B130),B142),0)</f>
        <v>6500000</v>
      </c>
      <c r="C101" s="332">
        <f>IF(C14&gt;C15/2,IF(OR(C18="A",C18="B"),SUM(C127,C129,C130),C142),0)</f>
        <v>5850000</v>
      </c>
      <c r="D101" s="332">
        <f>IF(D14&gt;D15/2,IF(OR(D18="A",D18="B"),SUM(D127,D129,D130),D142),0)</f>
        <v>9100000</v>
      </c>
      <c r="E101" s="332">
        <f>IF(E14&gt;E15/2,IF(OR(E18="A",E18="B"),SUM(E127,E129,E130),E142),0)</f>
        <v>9000000</v>
      </c>
      <c r="F101" s="332">
        <f>IF(F14&gt;F15/2,IF(OR(F18="A",F18="B"),SUM(F127,F129,F130),F142),0)</f>
        <v>14000000</v>
      </c>
      <c r="G101" s="332">
        <f>IF(G14&gt;G15/2,IF(OR(G18="A",G18="B"),SUM(G128,G129,G130),G142),0)</f>
        <v>0</v>
      </c>
      <c r="H101" s="332">
        <f t="shared" ref="H101:N101" si="40">IF(H14&gt;H15/2,IF(OR(H18="A",H18="B"),SUM(H127,H129,H130),H142),0)</f>
        <v>145700000</v>
      </c>
      <c r="I101" s="332">
        <f t="shared" si="40"/>
        <v>86950000</v>
      </c>
      <c r="J101" s="332">
        <f t="shared" si="40"/>
        <v>65000000</v>
      </c>
      <c r="K101" s="332">
        <f t="shared" si="40"/>
        <v>10400000</v>
      </c>
      <c r="L101" s="332">
        <f t="shared" si="40"/>
        <v>90000000</v>
      </c>
      <c r="M101" s="332">
        <f t="shared" si="40"/>
        <v>7500000</v>
      </c>
      <c r="N101" s="332">
        <f t="shared" si="40"/>
        <v>9000000</v>
      </c>
      <c r="O101" s="400">
        <f>IF(O14&gt;O15/2,IF(OR(O18="A",O18="B"),SUM(O128,O129,O130),O142),0)</f>
        <v>800000</v>
      </c>
      <c r="P101" s="346">
        <f t="shared" si="38"/>
        <v>459800000</v>
      </c>
      <c r="Q101" s="347"/>
      <c r="R101" s="347"/>
      <c r="S101" s="347"/>
      <c r="T101" s="347"/>
      <c r="U101" s="347"/>
    </row>
    <row r="102" spans="1:29">
      <c r="A102" s="412" t="s">
        <v>586</v>
      </c>
      <c r="B102" s="332">
        <f t="shared" ref="B102:O102" si="41">IF(OR(B18="A",B18="B"),SUM(B141,B129,B130,B133,B134,B132),SUM(B141,B132)*$B$4)</f>
        <v>6500000</v>
      </c>
      <c r="C102" s="332">
        <f t="shared" si="41"/>
        <v>5850000</v>
      </c>
      <c r="D102" s="332">
        <f t="shared" si="41"/>
        <v>9100000</v>
      </c>
      <c r="E102" s="332">
        <f t="shared" si="41"/>
        <v>9000000</v>
      </c>
      <c r="F102" s="332">
        <f t="shared" si="41"/>
        <v>14000000</v>
      </c>
      <c r="G102" s="332">
        <f t="shared" si="41"/>
        <v>0</v>
      </c>
      <c r="H102" s="332">
        <f t="shared" si="41"/>
        <v>109063500</v>
      </c>
      <c r="I102" s="332">
        <f t="shared" si="41"/>
        <v>85858500</v>
      </c>
      <c r="J102" s="332">
        <f t="shared" si="41"/>
        <v>65000000</v>
      </c>
      <c r="K102" s="332">
        <f t="shared" si="41"/>
        <v>10400000</v>
      </c>
      <c r="L102" s="332">
        <f t="shared" si="41"/>
        <v>90000000</v>
      </c>
      <c r="M102" s="332">
        <f t="shared" si="41"/>
        <v>7500000</v>
      </c>
      <c r="N102" s="332">
        <f t="shared" si="41"/>
        <v>9000000</v>
      </c>
      <c r="O102" s="400">
        <f t="shared" si="41"/>
        <v>0</v>
      </c>
      <c r="P102" s="346">
        <f t="shared" si="38"/>
        <v>421272000</v>
      </c>
      <c r="Q102" s="347"/>
      <c r="R102" s="347"/>
      <c r="S102" s="347"/>
      <c r="T102" s="347"/>
      <c r="U102" s="347"/>
    </row>
    <row r="103" spans="1:29">
      <c r="A103" s="412" t="s">
        <v>483</v>
      </c>
      <c r="B103" s="332">
        <f>ROUND('UAT2-Feb'!B75/2,0)</f>
        <v>10300000</v>
      </c>
      <c r="C103" s="332">
        <f>ROUND('UAT2-Feb'!C75/2,0)</f>
        <v>10380000</v>
      </c>
      <c r="D103" s="332">
        <f>ROUND('UAT2-Feb'!D75/2,0)</f>
        <v>13630000</v>
      </c>
      <c r="E103" s="332">
        <f>ROUND('UAT2-Feb'!E75/2,0)</f>
        <v>10800000</v>
      </c>
      <c r="F103" s="332">
        <f>ROUND('UAT2-Feb'!F75/2,0)</f>
        <v>15800000</v>
      </c>
      <c r="G103" s="332">
        <f>ROUND('UAT2-Feb'!G75/2,0)</f>
        <v>0</v>
      </c>
      <c r="H103" s="332">
        <f>ROUND('UAT2-Feb'!H75/2,0)</f>
        <v>151992750</v>
      </c>
      <c r="I103" s="332">
        <f>ROUND('UAT2-Feb'!I75/2,0)</f>
        <v>93632175</v>
      </c>
      <c r="J103" s="332">
        <f>ROUND('UAT2-Feb'!J75/2,0)</f>
        <v>65000000</v>
      </c>
      <c r="K103" s="332">
        <f>ROUND('UAT2-Feb'!K75/2,0)</f>
        <v>11130000</v>
      </c>
      <c r="L103" s="332">
        <f>ROUND('UAT2-Feb'!L75/2,0)</f>
        <v>90000000</v>
      </c>
      <c r="M103" s="332">
        <f>ROUND('UAT2-Feb'!M75/2,0)</f>
        <v>7500000</v>
      </c>
      <c r="N103" s="332">
        <f>ROUND('UAT2-Feb'!N75/2,0)</f>
        <v>9000000</v>
      </c>
      <c r="O103" s="400">
        <f>ROUND('UAT2-Feb'!O75/2,0)</f>
        <v>0</v>
      </c>
      <c r="P103" s="346">
        <f t="shared" si="38"/>
        <v>489164925</v>
      </c>
      <c r="Q103" s="347"/>
      <c r="R103" s="347"/>
      <c r="S103" s="347"/>
      <c r="T103" s="347"/>
      <c r="U103" s="347"/>
    </row>
    <row r="104" spans="1:29">
      <c r="A104" s="445" t="s">
        <v>486</v>
      </c>
      <c r="B104" s="332">
        <f>B100</f>
        <v>17380722</v>
      </c>
      <c r="C104" s="332">
        <f t="shared" ref="C104:O104" si="42">C100</f>
        <v>16931992</v>
      </c>
      <c r="D104" s="332">
        <f t="shared" si="42"/>
        <v>9100000</v>
      </c>
      <c r="E104" s="332">
        <f t="shared" si="42"/>
        <v>89981357</v>
      </c>
      <c r="F104" s="332">
        <f t="shared" si="42"/>
        <v>26281952</v>
      </c>
      <c r="G104" s="332">
        <f t="shared" si="42"/>
        <v>185640000</v>
      </c>
      <c r="H104" s="332">
        <f t="shared" si="42"/>
        <v>171657794</v>
      </c>
      <c r="I104" s="332">
        <f t="shared" si="42"/>
        <v>212325750</v>
      </c>
      <c r="J104" s="332">
        <f t="shared" si="42"/>
        <v>71000000</v>
      </c>
      <c r="K104" s="332">
        <f t="shared" si="42"/>
        <v>10400000</v>
      </c>
      <c r="L104" s="332">
        <f t="shared" si="42"/>
        <v>90000000</v>
      </c>
      <c r="M104" s="332">
        <f t="shared" si="42"/>
        <v>7500000</v>
      </c>
      <c r="N104" s="332">
        <f t="shared" si="42"/>
        <v>9000000</v>
      </c>
      <c r="O104" s="400">
        <f t="shared" si="42"/>
        <v>4000000</v>
      </c>
      <c r="P104" s="346">
        <f t="shared" si="38"/>
        <v>921199567</v>
      </c>
      <c r="Q104" s="347"/>
      <c r="R104" s="347"/>
      <c r="S104" s="347"/>
      <c r="T104" s="347"/>
      <c r="U104" s="347"/>
    </row>
    <row r="105" spans="1:29">
      <c r="A105" s="445" t="s">
        <v>607</v>
      </c>
      <c r="B105" s="332">
        <f t="shared" ref="B105:O105" si="43">SUM(B48:B50)</f>
        <v>682500</v>
      </c>
      <c r="C105" s="332">
        <f t="shared" si="43"/>
        <v>614250</v>
      </c>
      <c r="D105" s="332">
        <f t="shared" si="43"/>
        <v>227500</v>
      </c>
      <c r="E105" s="332">
        <f t="shared" si="43"/>
        <v>945000</v>
      </c>
      <c r="F105" s="332">
        <f t="shared" si="43"/>
        <v>0</v>
      </c>
      <c r="G105" s="332">
        <f t="shared" si="43"/>
        <v>0</v>
      </c>
      <c r="H105" s="332">
        <f t="shared" si="43"/>
        <v>447000</v>
      </c>
      <c r="I105" s="332">
        <f t="shared" si="43"/>
        <v>447000</v>
      </c>
      <c r="J105" s="332">
        <f t="shared" si="43"/>
        <v>3481000</v>
      </c>
      <c r="K105" s="332">
        <f t="shared" si="43"/>
        <v>0</v>
      </c>
      <c r="L105" s="332">
        <f t="shared" si="43"/>
        <v>3667000</v>
      </c>
      <c r="M105" s="332">
        <f t="shared" si="43"/>
        <v>0</v>
      </c>
      <c r="N105" s="332">
        <f t="shared" si="43"/>
        <v>0</v>
      </c>
      <c r="O105" s="400">
        <f t="shared" si="43"/>
        <v>0</v>
      </c>
      <c r="P105" s="346"/>
      <c r="Q105" s="347"/>
      <c r="R105" s="347"/>
      <c r="S105" s="347"/>
      <c r="T105" s="347"/>
      <c r="U105" s="347"/>
    </row>
    <row r="106" spans="1:29">
      <c r="A106" s="445" t="s">
        <v>902</v>
      </c>
      <c r="B106" s="332">
        <f t="shared" ref="B106:O106" si="44">IF(OR(B18="A",B18="C"),B104-B105,B104)</f>
        <v>16698222</v>
      </c>
      <c r="C106" s="332">
        <f t="shared" si="44"/>
        <v>16317742</v>
      </c>
      <c r="D106" s="332">
        <f t="shared" si="44"/>
        <v>8872500</v>
      </c>
      <c r="E106" s="332">
        <f t="shared" si="44"/>
        <v>89981357</v>
      </c>
      <c r="F106" s="332">
        <f t="shared" si="44"/>
        <v>26281952</v>
      </c>
      <c r="G106" s="332">
        <f t="shared" si="44"/>
        <v>185640000</v>
      </c>
      <c r="H106" s="332">
        <f t="shared" si="44"/>
        <v>171657794</v>
      </c>
      <c r="I106" s="332">
        <f t="shared" si="44"/>
        <v>212325750</v>
      </c>
      <c r="J106" s="332">
        <f t="shared" si="44"/>
        <v>67519000</v>
      </c>
      <c r="K106" s="332">
        <f t="shared" si="44"/>
        <v>10400000</v>
      </c>
      <c r="L106" s="332">
        <f t="shared" si="44"/>
        <v>86333000</v>
      </c>
      <c r="M106" s="332">
        <f t="shared" si="44"/>
        <v>7500000</v>
      </c>
      <c r="N106" s="332">
        <f t="shared" si="44"/>
        <v>9000000</v>
      </c>
      <c r="O106" s="400">
        <f t="shared" si="44"/>
        <v>4000000</v>
      </c>
      <c r="P106" s="346">
        <f>SUM(B106:O106)</f>
        <v>912527317</v>
      </c>
      <c r="Q106" s="347"/>
      <c r="R106" s="347"/>
      <c r="S106" s="347"/>
      <c r="T106" s="347"/>
      <c r="U106" s="347"/>
    </row>
    <row r="107" spans="1:29">
      <c r="A107" s="445" t="s">
        <v>903</v>
      </c>
      <c r="B107" s="332">
        <f t="shared" ref="B107:O107" si="45">IF(OR(B18="A",B18="C"),MAX(B106-B21-B20*B19,0),B106)</f>
        <v>4098222</v>
      </c>
      <c r="C107" s="332">
        <f t="shared" si="45"/>
        <v>0</v>
      </c>
      <c r="D107" s="332">
        <f t="shared" si="45"/>
        <v>0</v>
      </c>
      <c r="E107" s="332">
        <f t="shared" si="45"/>
        <v>89981357</v>
      </c>
      <c r="F107" s="332">
        <f t="shared" si="45"/>
        <v>26281952</v>
      </c>
      <c r="G107" s="332">
        <f t="shared" si="45"/>
        <v>176640000</v>
      </c>
      <c r="H107" s="332">
        <f t="shared" si="45"/>
        <v>171657794</v>
      </c>
      <c r="I107" s="332">
        <f t="shared" si="45"/>
        <v>212325750</v>
      </c>
      <c r="J107" s="332">
        <f t="shared" si="45"/>
        <v>58519000</v>
      </c>
      <c r="K107" s="332">
        <f t="shared" si="45"/>
        <v>1400000</v>
      </c>
      <c r="L107" s="332">
        <f t="shared" si="45"/>
        <v>77333000</v>
      </c>
      <c r="M107" s="332">
        <f t="shared" si="45"/>
        <v>0</v>
      </c>
      <c r="N107" s="332">
        <f t="shared" si="45"/>
        <v>0</v>
      </c>
      <c r="O107" s="400">
        <f t="shared" si="45"/>
        <v>4000000</v>
      </c>
      <c r="P107" s="346"/>
      <c r="Q107" s="380"/>
      <c r="R107" s="380"/>
      <c r="S107" s="380"/>
      <c r="T107" s="380"/>
      <c r="U107" s="380"/>
    </row>
    <row r="108" spans="1:29">
      <c r="A108" s="445" t="s">
        <v>487</v>
      </c>
      <c r="B108" s="332">
        <f>IF(OR(B18="A",B18="C"),ROUND(MAX(B107*{5;10;15;20;25;30;35}%-{0;0.25;0.75;1.65;3.25;5.85;9.85}*1000000,0),0),IF(B18="B",IF(B107&lt;2000000,0,ROUND(B107*10%,0)),ROUND(B107*20%,0)))</f>
        <v>204911</v>
      </c>
      <c r="C108" s="332">
        <f>IF(OR(C18="A",C18="C"),ROUND(MAX(C107*{5;10;15;20;25;30;35}%-{0;0.25;0.75;1.65;3.25;5.85;9.85}*1000000,0),0),IF(C18="B",IF(C107&lt;2000000,0,ROUND(C107*10%,0)),ROUND(C107*20%,0)))</f>
        <v>0</v>
      </c>
      <c r="D108" s="332">
        <f>IF(OR(D18="A",D18="C"),ROUND(MAX(D107*{5;10;15;20;25;30;35}%-{0;0.25;0.75;1.65;3.25;5.85;9.85}*1000000,0),0),IF(D18="B",IF(D107&lt;2000000,0,ROUND(D107*10%,0)),ROUND(D107*20%,0)))</f>
        <v>0</v>
      </c>
      <c r="E108" s="332">
        <f>IF(OR(E18="A",E18="C"),ROUND(MAX(E107*{5;10;15;20;25;30;35}%-{0;0.25;0.75;1.65;3.25;5.85;9.85}*1000000,0),0),IF(E18="B",IF(E107&lt;2000000,0,ROUND(E107*10%,0)),ROUND(E107*20%,0)))</f>
        <v>8998136</v>
      </c>
      <c r="F108" s="332">
        <f>IF(OR(F18="A",F18="C"),ROUND(MAX(F107*{5;10;15;20;25;30;35}%-{0;0.25;0.75;1.65;3.25;5.85;9.85}*1000000,0),0),IF(F18="B",IF(F107&lt;2000000,0,ROUND(F107*10%,0)),ROUND(F107*20%,0)))</f>
        <v>2628195</v>
      </c>
      <c r="G108" s="332">
        <f>IF(OR(G18="A",G18="C"),ROUND(MAX(G107*{5;10;15;20;25;30;35}%-{0;0.25;0.75;1.65;3.25;5.85;9.85}*1000000,0),0),IF(G18="B",IF(G107&lt;2000000,0,ROUND(G107*10%,0)),ROUND(G107*20%,0)))</f>
        <v>51974000</v>
      </c>
      <c r="H108" s="332">
        <f>IF(OR(H18="A",H18="C"),ROUND(MAX(H107*{5;10;15;20;25;30;35}%-{0;0.25;0.75;1.65;3.25;5.85;9.85}*1000000,0),0),IF(H18="B",IF(H107&lt;2000000,0,ROUND(H107*10%,0)),ROUND(H107*20%,0)))</f>
        <v>34331559</v>
      </c>
      <c r="I108" s="332">
        <f>IF(OR(I18="A",I18="C"),ROUND(MAX(I107*{5;10;15;20;25;30;35}%-{0;0.25;0.75;1.65;3.25;5.85;9.85}*1000000,0),0),IF(I18="B",IF(I107&lt;2000000,0,ROUND(I107*10%,0)),ROUND(I107*20%,0)))</f>
        <v>42465150</v>
      </c>
      <c r="J108" s="332">
        <f>IF(OR(J18="A",J18="C"),ROUND(MAX(J107*{5;10;15;20;25;30;35}%-{0;0.25;0.75;1.65;3.25;5.85;9.85}*1000000,0),0),IF(J18="B",IF(J107&lt;2000000,0,ROUND(J107*10%,0)),ROUND(J107*20%,0)))</f>
        <v>11705700</v>
      </c>
      <c r="K108" s="332">
        <f>IF(OR(K18="A",K18="C"),ROUND(MAX(K107*{5;10;15;20;25;30;35}%-{0;0.25;0.75;1.65;3.25;5.85;9.85}*1000000,0),0),IF(K18="B",IF(K107&lt;2000000,0,ROUND(K107*10%,0)),ROUND(K107*20%,0)))</f>
        <v>70000</v>
      </c>
      <c r="L108" s="332">
        <f>IF(OR(L18="A",L18="C"),ROUND(MAX(L107*{5;10;15;20;25;30;35}%-{0;0.25;0.75;1.65;3.25;5.85;9.85}*1000000,0),0),IF(L18="B",IF(L107&lt;2000000,0,ROUND(L107*10%,0)),ROUND(L107*20%,0)))</f>
        <v>17349900</v>
      </c>
      <c r="M108" s="332">
        <f>IF(OR(M18="A",M18="C"),ROUND(MAX(M107*{5;10;15;20;25;30;35}%-{0;0.25;0.75;1.65;3.25;5.85;9.85}*1000000,0),0),IF(M18="B",IF(M107&lt;2000000,0,ROUND(M107*10%,0)),ROUND(M107*20%,0)))</f>
        <v>0</v>
      </c>
      <c r="N108" s="332">
        <f>IF(OR(N18="A",N18="C"),ROUND(MAX(N107*{5;10;15;20;25;30;35}%-{0;0.25;0.75;1.65;3.25;5.85;9.85}*1000000,0),0),IF(N18="B",IF(N107&lt;2000000,0,ROUND(N107*10%,0)),ROUND(N107*20%,0)))</f>
        <v>0</v>
      </c>
      <c r="O108" s="400">
        <f>IF(OR(O18="A",O18="C"),ROUND(MAX(O107*{5;10;15;20;25;30;35}%-{0;0.25;0.75;1.65;3.25;5.85;9.85}*1000000,0),0),IF(O18="B",IF(O107&lt;2000000,0,ROUND(O107*10%,0)),ROUND(O107*20%,0)))</f>
        <v>400000</v>
      </c>
      <c r="P108" s="346">
        <f>SUM(B108:O108)</f>
        <v>170127551</v>
      </c>
      <c r="Q108" s="347"/>
      <c r="R108" s="347"/>
      <c r="S108" s="347"/>
      <c r="T108" s="347"/>
      <c r="U108" s="347"/>
    </row>
    <row r="109" spans="1:29">
      <c r="A109" s="445" t="s">
        <v>917</v>
      </c>
      <c r="B109" s="332">
        <f>B106+'UAT2-Feb'!B110</f>
        <v>46031285</v>
      </c>
      <c r="C109" s="332">
        <f>C106+'UAT2-Feb'!C110</f>
        <v>44419055</v>
      </c>
      <c r="D109" s="332">
        <f>D106+'UAT2-Feb'!D110</f>
        <v>37294999</v>
      </c>
      <c r="E109" s="332">
        <f>E106+'UAT2-Feb'!E110</f>
        <v>113610952</v>
      </c>
      <c r="F109" s="332">
        <f>F106+'UAT2-Feb'!F110</f>
        <v>60281952</v>
      </c>
      <c r="G109" s="332">
        <f>G106+'UAT2-Feb'!G110</f>
        <v>220447500</v>
      </c>
      <c r="H109" s="332">
        <f>H106+'UAT2-Feb'!H110</f>
        <v>509317318</v>
      </c>
      <c r="I109" s="332">
        <f>I106+'UAT2-Feb'!I110</f>
        <v>374096565.86210001</v>
      </c>
      <c r="J109" s="332">
        <f>J106+'UAT2-Feb'!J110</f>
        <v>137706262</v>
      </c>
      <c r="K109" s="332">
        <f>K106+'UAT2-Feb'!K110</f>
        <v>31200000</v>
      </c>
      <c r="L109" s="332">
        <f>L106+'UAT2-Feb'!L110</f>
        <v>262856000</v>
      </c>
      <c r="M109" s="332">
        <f>M106+'UAT2-Feb'!M110</f>
        <v>22500000</v>
      </c>
      <c r="N109" s="332">
        <f>N106+'UAT2-Feb'!N110</f>
        <v>27000000</v>
      </c>
      <c r="O109" s="400">
        <f>O106+'UAT2-Feb'!O110</f>
        <v>10000000</v>
      </c>
      <c r="P109" s="346">
        <f>SUM(B109:O109)</f>
        <v>1896761888.8621001</v>
      </c>
      <c r="Q109" s="347"/>
      <c r="R109" s="347"/>
      <c r="S109" s="347"/>
      <c r="T109" s="347"/>
      <c r="U109" s="347"/>
    </row>
    <row r="110" spans="1:29">
      <c r="A110" s="445" t="s">
        <v>488</v>
      </c>
      <c r="B110" s="332">
        <f>B108+'UAT2-Feb'!B111</f>
        <v>359065</v>
      </c>
      <c r="C110" s="332">
        <f>C108+'UAT2-Feb'!C111</f>
        <v>0</v>
      </c>
      <c r="D110" s="332">
        <f>D108+'UAT2-Feb'!D111</f>
        <v>161125</v>
      </c>
      <c r="E110" s="332">
        <f>E108+'UAT2-Feb'!E111</f>
        <v>11455596</v>
      </c>
      <c r="F110" s="332">
        <f>F108+'UAT2-Feb'!F111</f>
        <v>6028195</v>
      </c>
      <c r="G110" s="332">
        <f>G108+'UAT2-Feb'!G111</f>
        <v>53484875</v>
      </c>
      <c r="H110" s="332">
        <f>H108+'UAT2-Feb'!H111</f>
        <v>101946864</v>
      </c>
      <c r="I110" s="332">
        <f>I108+'UAT2-Feb'!I111</f>
        <v>74902713</v>
      </c>
      <c r="J110" s="332">
        <f>J108+'UAT2-Feb'!J111</f>
        <v>24211879</v>
      </c>
      <c r="K110" s="332">
        <f>K108+'UAT2-Feb'!K111</f>
        <v>210000</v>
      </c>
      <c r="L110" s="332">
        <f>L108+'UAT2-Feb'!L111</f>
        <v>52163700</v>
      </c>
      <c r="M110" s="332">
        <f>M108+'UAT2-Feb'!M111</f>
        <v>0</v>
      </c>
      <c r="N110" s="332">
        <f>N108+'UAT2-Feb'!N111</f>
        <v>0</v>
      </c>
      <c r="O110" s="400">
        <f>O108+'UAT2-Feb'!O111</f>
        <v>1000000</v>
      </c>
      <c r="P110" s="346">
        <f>SUM(B110:O110)</f>
        <v>325924012</v>
      </c>
      <c r="Q110" s="347"/>
      <c r="R110" s="347"/>
      <c r="S110" s="347"/>
      <c r="T110" s="347"/>
      <c r="U110" s="347"/>
    </row>
    <row r="111" spans="1:29">
      <c r="A111" s="445" t="s">
        <v>489</v>
      </c>
      <c r="B111" s="332">
        <f>B105+'UAT2-Feb'!B112</f>
        <v>2782500</v>
      </c>
      <c r="C111" s="332">
        <f>C105+'UAT2-Feb'!C112</f>
        <v>2577750</v>
      </c>
      <c r="D111" s="332">
        <f>D105+'UAT2-Feb'!D112</f>
        <v>782500</v>
      </c>
      <c r="E111" s="332">
        <f>E105+'UAT2-Feb'!E112</f>
        <v>2835000</v>
      </c>
      <c r="F111" s="332">
        <f>F105+'UAT2-Feb'!F112</f>
        <v>0</v>
      </c>
      <c r="G111" s="332">
        <f>G105+'UAT2-Feb'!G112</f>
        <v>0</v>
      </c>
      <c r="H111" s="332">
        <f>H105+'UAT2-Feb'!H112</f>
        <v>1281000</v>
      </c>
      <c r="I111" s="332">
        <f>I105+'UAT2-Feb'!I112</f>
        <v>864000</v>
      </c>
      <c r="J111" s="332">
        <f>J105+'UAT2-Feb'!J112</f>
        <v>6772000</v>
      </c>
      <c r="K111" s="332">
        <f>K105+'UAT2-Feb'!K112</f>
        <v>0</v>
      </c>
      <c r="L111" s="332">
        <f>L105+'UAT2-Feb'!L112</f>
        <v>10621000</v>
      </c>
      <c r="M111" s="332">
        <f>M105+'UAT2-Feb'!M112</f>
        <v>0</v>
      </c>
      <c r="N111" s="332">
        <f>N105+'UAT2-Feb'!N112</f>
        <v>0</v>
      </c>
      <c r="O111" s="400">
        <f>O105+'UAT2-Feb'!O112</f>
        <v>0</v>
      </c>
      <c r="P111" s="346">
        <f>SUM(B111:O111)</f>
        <v>28515750</v>
      </c>
      <c r="Q111" s="347"/>
      <c r="R111" s="347"/>
      <c r="S111" s="347"/>
      <c r="T111" s="347"/>
      <c r="U111" s="347"/>
    </row>
    <row r="112" spans="1:29">
      <c r="A112" s="412"/>
      <c r="B112" s="14"/>
      <c r="C112" s="7"/>
      <c r="D112" s="7"/>
      <c r="E112" s="322"/>
      <c r="F112" s="7"/>
      <c r="G112" s="7"/>
      <c r="H112" s="7"/>
      <c r="I112" s="7"/>
      <c r="J112" s="7"/>
      <c r="K112" s="322"/>
      <c r="L112" s="322"/>
      <c r="M112" s="322"/>
      <c r="N112" s="322"/>
      <c r="O112" s="381"/>
      <c r="P112" s="346"/>
      <c r="Q112" s="347"/>
      <c r="R112" s="347"/>
      <c r="S112" s="347"/>
      <c r="T112" s="347"/>
      <c r="U112" s="347"/>
    </row>
    <row r="113" spans="1:21" ht="15.6">
      <c r="A113" s="411" t="s">
        <v>825</v>
      </c>
      <c r="B113" s="14"/>
      <c r="C113" s="7"/>
      <c r="D113" s="7"/>
      <c r="E113" s="322"/>
      <c r="F113" s="7"/>
      <c r="G113" s="7"/>
      <c r="H113" s="7"/>
      <c r="I113" s="7"/>
      <c r="J113" s="7"/>
      <c r="K113" s="322"/>
      <c r="L113" s="322"/>
      <c r="M113" s="322"/>
      <c r="N113" s="322"/>
      <c r="O113" s="381"/>
      <c r="P113" s="346"/>
      <c r="Q113" s="347"/>
      <c r="R113" s="347"/>
      <c r="S113" s="347"/>
      <c r="T113" s="347"/>
      <c r="U113" s="347"/>
    </row>
    <row r="114" spans="1:21">
      <c r="A114" s="445" t="s">
        <v>432</v>
      </c>
      <c r="B114" s="549">
        <f>'UAT2-Feb'!B115</f>
        <v>160</v>
      </c>
      <c r="C114" s="549">
        <f>'UAT2-Feb'!C115</f>
        <v>72</v>
      </c>
      <c r="D114" s="549">
        <f>'UAT2-Feb'!D115</f>
        <v>156.93</v>
      </c>
      <c r="E114" s="549">
        <f>'UAT2-Feb'!E115</f>
        <v>160</v>
      </c>
      <c r="F114" s="549">
        <f>'UAT2-Feb'!F115</f>
        <v>128</v>
      </c>
      <c r="G114" s="549">
        <f>'UAT2-Feb'!G115</f>
        <v>0</v>
      </c>
      <c r="H114" s="549">
        <f>'UAT2-Feb'!H115</f>
        <v>80</v>
      </c>
      <c r="I114" s="549">
        <f>'UAT2-Feb'!I115</f>
        <v>0</v>
      </c>
      <c r="J114" s="549">
        <f>'UAT2-Feb'!J115</f>
        <v>44.32</v>
      </c>
      <c r="K114" s="549">
        <f>'UAT2-Feb'!K115</f>
        <v>160</v>
      </c>
      <c r="L114" s="549">
        <f>'UAT2-Feb'!L115</f>
        <v>160</v>
      </c>
      <c r="M114" s="549">
        <f>'UAT2-Feb'!M115</f>
        <v>160</v>
      </c>
      <c r="N114" s="549">
        <f>'UAT2-Feb'!N115</f>
        <v>160</v>
      </c>
      <c r="O114" s="550">
        <f>'UAT2-Feb'!O115</f>
        <v>0</v>
      </c>
      <c r="P114" s="478">
        <v>1540</v>
      </c>
      <c r="Q114" s="347"/>
      <c r="R114" s="347"/>
      <c r="S114" s="347"/>
      <c r="T114" s="347"/>
      <c r="U114" s="347"/>
    </row>
    <row r="115" spans="1:21">
      <c r="A115" s="445" t="s">
        <v>433</v>
      </c>
      <c r="B115" s="549">
        <f>'UAT2-Feb'!B116</f>
        <v>80</v>
      </c>
      <c r="C115" s="549">
        <f>'UAT2-Feb'!C116</f>
        <v>36</v>
      </c>
      <c r="D115" s="549">
        <f>'UAT2-Feb'!D116</f>
        <v>78.47</v>
      </c>
      <c r="E115" s="549">
        <f>'UAT2-Feb'!E116</f>
        <v>80</v>
      </c>
      <c r="F115" s="549">
        <f>'UAT2-Feb'!F116</f>
        <v>64</v>
      </c>
      <c r="G115" s="549">
        <f>'UAT2-Feb'!G116</f>
        <v>0</v>
      </c>
      <c r="H115" s="549">
        <f>'UAT2-Feb'!H116</f>
        <v>40</v>
      </c>
      <c r="I115" s="549">
        <f>'UAT2-Feb'!I116</f>
        <v>0</v>
      </c>
      <c r="J115" s="549">
        <f>'UAT2-Feb'!J116</f>
        <v>22.16</v>
      </c>
      <c r="K115" s="549">
        <f>'UAT2-Feb'!K116</f>
        <v>80</v>
      </c>
      <c r="L115" s="549">
        <f>'UAT2-Feb'!L116</f>
        <v>80</v>
      </c>
      <c r="M115" s="549">
        <f>'UAT2-Feb'!M116</f>
        <v>80</v>
      </c>
      <c r="N115" s="549">
        <f>'UAT2-Feb'!N116</f>
        <v>80</v>
      </c>
      <c r="O115" s="550">
        <f>'UAT2-Feb'!O116</f>
        <v>0</v>
      </c>
      <c r="P115" s="478">
        <v>769</v>
      </c>
      <c r="Q115" s="347"/>
      <c r="R115" s="347"/>
      <c r="S115" s="347"/>
      <c r="T115" s="347"/>
      <c r="U115" s="347"/>
    </row>
    <row r="116" spans="1:21">
      <c r="A116" s="445" t="s">
        <v>434</v>
      </c>
      <c r="B116" s="560">
        <f>'UAT2-Feb'!B117</f>
        <v>0</v>
      </c>
      <c r="C116" s="560">
        <f>'UAT2-Feb'!C117</f>
        <v>0</v>
      </c>
      <c r="D116" s="560">
        <f>'UAT2-Feb'!D117</f>
        <v>0</v>
      </c>
      <c r="E116" s="560">
        <f>'UAT2-Feb'!E117</f>
        <v>0</v>
      </c>
      <c r="F116" s="560">
        <f>'UAT2-Feb'!F117</f>
        <v>0</v>
      </c>
      <c r="G116" s="560">
        <f>'UAT2-Feb'!G117</f>
        <v>0</v>
      </c>
      <c r="H116" s="560">
        <f>'UAT2-Feb'!H117</f>
        <v>0</v>
      </c>
      <c r="I116" s="560">
        <f>'UAT2-Feb'!I117</f>
        <v>0</v>
      </c>
      <c r="J116" s="560">
        <f>'UAT2-Feb'!J117</f>
        <v>0</v>
      </c>
      <c r="K116" s="560">
        <f>'UAT2-Feb'!K117</f>
        <v>0</v>
      </c>
      <c r="L116" s="560">
        <f>'UAT2-Feb'!L117</f>
        <v>0</v>
      </c>
      <c r="M116" s="560">
        <f>'UAT2-Feb'!M117</f>
        <v>0</v>
      </c>
      <c r="N116" s="560">
        <f>'UAT2-Feb'!N117</f>
        <v>0</v>
      </c>
      <c r="O116" s="602">
        <f>'UAT2-Feb'!O117</f>
        <v>0</v>
      </c>
      <c r="P116" s="577">
        <v>0</v>
      </c>
      <c r="Q116" s="347"/>
      <c r="R116" s="347"/>
      <c r="S116" s="347"/>
      <c r="T116" s="347"/>
      <c r="U116" s="347"/>
    </row>
    <row r="117" spans="1:21">
      <c r="A117" s="445" t="s">
        <v>435</v>
      </c>
      <c r="B117" s="560">
        <f>'UAT2-Feb'!B118</f>
        <v>0</v>
      </c>
      <c r="C117" s="560">
        <f>'UAT2-Feb'!C118</f>
        <v>0</v>
      </c>
      <c r="D117" s="560">
        <f>'UAT2-Feb'!D118</f>
        <v>0</v>
      </c>
      <c r="E117" s="560">
        <f>'UAT2-Feb'!E118</f>
        <v>0</v>
      </c>
      <c r="F117" s="560">
        <f>'UAT2-Feb'!F118</f>
        <v>0</v>
      </c>
      <c r="G117" s="560">
        <f>'UAT2-Feb'!G118</f>
        <v>0</v>
      </c>
      <c r="H117" s="560">
        <f>'UAT2-Feb'!H118</f>
        <v>0</v>
      </c>
      <c r="I117" s="560">
        <f>'UAT2-Feb'!I118</f>
        <v>0</v>
      </c>
      <c r="J117" s="560">
        <f>'UAT2-Feb'!J118</f>
        <v>0</v>
      </c>
      <c r="K117" s="560">
        <f>'UAT2-Feb'!K118</f>
        <v>0</v>
      </c>
      <c r="L117" s="560">
        <f>'UAT2-Feb'!L118</f>
        <v>0</v>
      </c>
      <c r="M117" s="560">
        <f>'UAT2-Feb'!M118</f>
        <v>0</v>
      </c>
      <c r="N117" s="560">
        <f>'UAT2-Feb'!N118</f>
        <v>0</v>
      </c>
      <c r="O117" s="602">
        <f>'UAT2-Feb'!O118</f>
        <v>0</v>
      </c>
      <c r="P117" s="577">
        <v>0</v>
      </c>
      <c r="Q117" s="347"/>
      <c r="R117" s="347"/>
      <c r="S117" s="347"/>
      <c r="T117" s="347"/>
      <c r="U117" s="347"/>
    </row>
    <row r="118" spans="1:21">
      <c r="A118" s="445" t="s">
        <v>436</v>
      </c>
      <c r="B118" s="560">
        <f>'UAT2-Feb'!B119</f>
        <v>0</v>
      </c>
      <c r="C118" s="560">
        <f>'UAT2-Feb'!C119</f>
        <v>0</v>
      </c>
      <c r="D118" s="560">
        <f>'UAT2-Feb'!D119</f>
        <v>0</v>
      </c>
      <c r="E118" s="560">
        <f>'UAT2-Feb'!E119</f>
        <v>0</v>
      </c>
      <c r="F118" s="560">
        <f>'UAT2-Feb'!F119</f>
        <v>0</v>
      </c>
      <c r="G118" s="560">
        <f>'UAT2-Feb'!G119</f>
        <v>0</v>
      </c>
      <c r="H118" s="560">
        <f>'UAT2-Feb'!H119</f>
        <v>0</v>
      </c>
      <c r="I118" s="560">
        <f>'UAT2-Feb'!I119</f>
        <v>0</v>
      </c>
      <c r="J118" s="560">
        <f>'UAT2-Feb'!J119</f>
        <v>0</v>
      </c>
      <c r="K118" s="560">
        <f>'UAT2-Feb'!K119</f>
        <v>0</v>
      </c>
      <c r="L118" s="560">
        <f>'UAT2-Feb'!L119</f>
        <v>0</v>
      </c>
      <c r="M118" s="560">
        <f>'UAT2-Feb'!M119</f>
        <v>0</v>
      </c>
      <c r="N118" s="560">
        <f>'UAT2-Feb'!N119</f>
        <v>0</v>
      </c>
      <c r="O118" s="602">
        <f>'UAT2-Feb'!O119</f>
        <v>0</v>
      </c>
      <c r="P118" s="577">
        <v>0</v>
      </c>
      <c r="Q118" s="347"/>
      <c r="R118" s="347"/>
      <c r="S118" s="347"/>
      <c r="T118" s="347"/>
      <c r="U118" s="347"/>
    </row>
    <row r="119" spans="1:21">
      <c r="A119" s="445"/>
      <c r="F119" s="5"/>
      <c r="G119" s="5"/>
      <c r="H119" s="5"/>
      <c r="I119" s="5"/>
      <c r="Q119" s="347"/>
      <c r="R119" s="347"/>
      <c r="S119" s="347"/>
      <c r="T119" s="347"/>
      <c r="U119" s="347"/>
    </row>
    <row r="120" spans="1:21" ht="15.6">
      <c r="A120" s="411" t="s">
        <v>437</v>
      </c>
    </row>
    <row r="121" spans="1:21">
      <c r="A121" s="6" t="s">
        <v>863</v>
      </c>
      <c r="B121" s="551">
        <f>IF(OR(B11="S",B11="C"),0,IF(OR(B11="1",B11="3"),ROUND(20*8*B16/365,5),ROUND(20*'New Hire'!C24*B16/365,5)))+'UAT2-Feb'!B122</f>
        <v>39.45205</v>
      </c>
      <c r="C121" s="551">
        <f>IF(OR(C11="S",C11="C"),0,IF(OR(C11="1",C11="3"),ROUND(20*8*C16/365,5),ROUND(20*'New Hire'!D24*C16/365,5)))+'UAT2-Feb'!C122</f>
        <v>17.753430000000002</v>
      </c>
      <c r="D121" s="551">
        <f>IF(OR(D11="S",D11="C"),0,IF(OR(D11="1",D11="3"),ROUND(20*8*D16/365,5),ROUND(20*'New Hire'!E24*D16/365,5)))+'UAT2-Feb'!D122</f>
        <v>36.383560000000003</v>
      </c>
      <c r="E121" s="551">
        <f>IF(OR(E11="S",E11="C"),0,IF(OR(E11="1",E11="3"),ROUND(20*8*E16/365,5),ROUND(20*'New Hire'!F24*E16/365,5)))+'UAT2-Feb'!E122</f>
        <v>39.45205</v>
      </c>
      <c r="F121" s="551">
        <f>IF(OR(F11="S",F11="C"),0,IF(OR(F11="1",F11="3"),ROUND(20*8*F16/365,5),ROUND(20*'New Hire'!G24*F16/365,5)))+'UAT2-Feb'!F122</f>
        <v>31.561640000000001</v>
      </c>
      <c r="G121" s="551">
        <f>IF(OR(G11="S",G11="C"),0,IF(OR(G11="1",G11="3"),ROUND(20*8*G16/365,5),ROUND(20*'New Hire'!H24*G16/365,5)))+'UAT2-Feb'!G122</f>
        <v>0</v>
      </c>
      <c r="H121" s="551">
        <f>IF(OR(H11="S",H11="C"),0,IF(OR(H11="1",H11="3"),ROUND(20*8*H16/365,5),ROUND(20*'New Hire'!I24*H16/365,5)))+'UAT2-Feb'!H122</f>
        <v>19.726030000000002</v>
      </c>
      <c r="I121" s="551">
        <f>IF(OR(I11="S",I11="C"),0,IF(OR(I11="1",I11="3"),ROUND(20*8*I16/365,5),ROUND(20*'New Hire'!J24*I16/365,5)))+'UAT2-Feb'!I122</f>
        <v>0</v>
      </c>
      <c r="J121" s="551">
        <f>IF(OR(J11="S",J11="C"),0,IF(OR(J11="1",J11="3"),ROUND(20*8*J16/365,5),ROUND(20*'New Hire'!K24*J16/365,5)))+'UAT2-Feb'!J122</f>
        <v>8.1534200000000006</v>
      </c>
      <c r="K121" s="551">
        <f>IF(OR(K11="S",K11="C"),0,IF(OR(K11="1",K11="3"),ROUND(20*8*K16/365,5),ROUND(20*'New Hire'!L24*K16/365,5)))+'UAT2-Feb'!K122</f>
        <v>39.45205</v>
      </c>
      <c r="L121" s="551">
        <f>IF(OR(L11="S",L11="C"),0,IF(OR(L11="1",L11="3"),ROUND(20*8*L16/365,5),ROUND(20*'New Hire'!M24*L16/365,5)))+'UAT2-Feb'!L122</f>
        <v>39.45205</v>
      </c>
      <c r="M121" s="551">
        <f>IF(OR(M11="S",M11="C"),0,IF(OR(M11="1",M11="3"),ROUND(20*8*M16/365,5),ROUND(20*'New Hire'!N24*M16/365,5)))+'UAT2-Feb'!M122</f>
        <v>39.45205</v>
      </c>
      <c r="N121" s="551">
        <f>IF(OR(N11="S",N11="C"),0,IF(OR(N11="1",N11="3"),ROUND(20*8*N16/365,5),ROUND(20*'New Hire'!O24*N16/365,5)))+'UAT2-Feb'!N122</f>
        <v>39.45205</v>
      </c>
      <c r="O121" s="551">
        <f>IF(OR(O11="S",O11="C"),0,IF(OR(O11="1",O11="3"),ROUND(20*8*O16/365,5),ROUND(20*'New Hire'!P24*O16/365,5)))+'UAT2-Feb'!O122</f>
        <v>0</v>
      </c>
      <c r="P121" s="347"/>
    </row>
    <row r="122" spans="1:21">
      <c r="A122" s="6" t="s">
        <v>864</v>
      </c>
      <c r="B122" s="552">
        <f>IF(OR(B11="S",B11="C"),0,IF(OR(B11="1",B11="3"),ROUND(10*8*B16/365,5),ROUND(10*'New Hire'!C24*B16/365,5)))+'UAT2-Feb'!B123</f>
        <v>19.726030000000002</v>
      </c>
      <c r="C122" s="552">
        <f>IF(OR(C11="S",C11="C"),0,IF(OR(C11="1",C11="3"),ROUND(10*8*C16/365,5),ROUND(10*'New Hire'!D24*C16/365,5)))+'UAT2-Feb'!C123</f>
        <v>8.8766999999999996</v>
      </c>
      <c r="D122" s="552">
        <f>IF(OR(D11="S",D11="C"),0,IF(OR(D11="1",D11="3"),ROUND(10*8*D16/365,5),ROUND(10*'New Hire'!E24*D16/365,5)))+'UAT2-Feb'!D123</f>
        <v>18.191780000000001</v>
      </c>
      <c r="E122" s="552">
        <f>IF(OR(E11="S",E11="C"),0,IF(OR(E11="1",E11="3"),ROUND(10*8*E16/365,5),ROUND(10*'New Hire'!F24*E16/365,5)))+'UAT2-Feb'!E123</f>
        <v>19.726030000000002</v>
      </c>
      <c r="F122" s="552">
        <f>IF(OR(F11="S",F11="C"),0,IF(OR(F11="1",F11="3"),ROUND(10*8*F16/365,5),ROUND(10*'New Hire'!G24*F16/365,5)))+'UAT2-Feb'!F123</f>
        <v>15.78083</v>
      </c>
      <c r="G122" s="552">
        <f>IF(OR(G11="S",G11="C"),0,IF(OR(G11="1",G11="3"),ROUND(10*8*G16/365,5),ROUND(10*'New Hire'!H24*G16/365,5)))+'UAT2-Feb'!G123</f>
        <v>0</v>
      </c>
      <c r="H122" s="552">
        <f>IF(OR(H11="S",H11="C"),0,IF(OR(H11="1",H11="3"),ROUND(10*8*H16/365,5),ROUND(10*'New Hire'!I24*H16/365,5)))+'UAT2-Feb'!H123</f>
        <v>9.8630099999999992</v>
      </c>
      <c r="I122" s="552">
        <f>IF(OR(I11="S",I11="C"),0,IF(OR(I11="1",I11="3"),ROUND(10*8*I16/365,5),ROUND(10*'New Hire'!J24*I16/365,5)))+'UAT2-Feb'!I123</f>
        <v>0</v>
      </c>
      <c r="J122" s="552">
        <f>IF(OR(J11="S",J11="C"),0,IF(OR(J11="1",J11="3"),ROUND(10*8*J16/365,5),ROUND(10*'New Hire'!K24*J16/365,5)))+'UAT2-Feb'!J123</f>
        <v>4.0767199999999999</v>
      </c>
      <c r="K122" s="552">
        <f>IF(OR(K11="S",K11="C"),0,IF(OR(K11="1",K11="3"),ROUND(10*8*K16/365,5),ROUND(10*'New Hire'!L24*K16/365,5)))+'UAT2-Feb'!K123</f>
        <v>19.726030000000002</v>
      </c>
      <c r="L122" s="552">
        <f>IF(OR(L11="S",L11="C"),0,IF(OR(L11="1",L11="3"),ROUND(10*8*L16/365,5),ROUND(10*'New Hire'!M24*L16/365,5)))+'UAT2-Feb'!L123</f>
        <v>19.726030000000002</v>
      </c>
      <c r="M122" s="552">
        <f>IF(OR(M11="S",M11="C"),0,IF(OR(M11="1",M11="3"),ROUND(10*8*M16/365,5),ROUND(10*'New Hire'!N24*M16/365,5)))+'UAT2-Feb'!M123</f>
        <v>19.726030000000002</v>
      </c>
      <c r="N122" s="552">
        <f>IF(OR(N11="S",N11="C"),0,IF(OR(N11="1",N11="3"),ROUND(10*8*N16/365,5),ROUND(10*'New Hire'!O24*N16/365,5)))+'UAT2-Feb'!N123</f>
        <v>19.726030000000002</v>
      </c>
      <c r="O122" s="552">
        <f>IF(OR(O11="S",O11="C"),0,IF(OR(O11="1",O11="3"),ROUND(10*8*O16/365,5),ROUND(10*'New Hire'!P24*O16/365,5)))+'UAT2-Feb'!O123</f>
        <v>0</v>
      </c>
    </row>
    <row r="123" spans="1:21">
      <c r="A123" s="445" t="s">
        <v>829</v>
      </c>
      <c r="B123" s="551">
        <f>IF('New Hire'!C78=1,ROUND(25/10*B13%/365,5)*B16,0)+'UAT2-Feb'!B124</f>
        <v>0</v>
      </c>
      <c r="C123" s="551">
        <f>IF('New Hire'!D78=1,ROUND(25/10*C13%/365,5)*C16,0)+'UAT2-Feb'!C124</f>
        <v>0</v>
      </c>
      <c r="D123" s="551">
        <f>IF('New Hire'!E78=1,ROUND(25/10*D13%/365,5)*D16,0)+'UAT2-Feb'!D124</f>
        <v>0</v>
      </c>
      <c r="E123" s="551">
        <f>IF('New Hire'!F78=1,ROUND(25/10*E13%/365,5)*E16,0)+'UAT2-Feb'!E124</f>
        <v>0</v>
      </c>
      <c r="F123" s="551">
        <f>IF('New Hire'!G78=1,ROUND(25/10*F13%/365,5)*F16,0)+'UAT2-Feb'!F124</f>
        <v>0.61650000000000005</v>
      </c>
      <c r="G123" s="551">
        <f>IF('New Hire'!H78=1,ROUND(25/10*G13%/365,5)*G16,0)+'UAT2-Feb'!G124</f>
        <v>0</v>
      </c>
      <c r="H123" s="551">
        <f>IF('New Hire'!I78=1,ROUND(25/10*H13%/365,5)*H16,0)+'UAT2-Feb'!H124</f>
        <v>0</v>
      </c>
      <c r="I123" s="551">
        <f>IF('New Hire'!J78=1,ROUND(25/10*I13%/365,5)*I16,0)+'UAT2-Feb'!I124</f>
        <v>0</v>
      </c>
      <c r="J123" s="551">
        <f>IF('New Hire'!K78=1,ROUND(25/10*J13%/365,5)*J16,0)+'UAT2-Feb'!J124</f>
        <v>0</v>
      </c>
      <c r="K123" s="551">
        <f>IF('New Hire'!L78=1,ROUND(25/10*K13%/365,5)*K16,0)+'UAT2-Feb'!K124</f>
        <v>0</v>
      </c>
      <c r="L123" s="551">
        <f>IF('New Hire'!M78=1,ROUND(25/10*L13%/365,5)*L16,0)+'UAT2-Feb'!L124</f>
        <v>0</v>
      </c>
      <c r="M123" s="551">
        <f>IF('New Hire'!N78=1,ROUND(25/10*M13%/365,5)*M16,0)+'UAT2-Feb'!M124</f>
        <v>0</v>
      </c>
      <c r="N123" s="551">
        <f>IF('New Hire'!O78=1,ROUND(25/10*N13%/365,5)*N16,0)+'UAT2-Feb'!N124</f>
        <v>0</v>
      </c>
      <c r="O123" s="551">
        <f>IF('New Hire'!P78=1,ROUND(25/10*O13%/365,5)*O16,0)+'UAT2-Feb'!O124</f>
        <v>0</v>
      </c>
      <c r="P123" s="347"/>
    </row>
    <row r="124" spans="1:21">
      <c r="A124" s="445" t="s">
        <v>830</v>
      </c>
      <c r="B124" s="552">
        <f>IF(B11="C",0,IF('New Hire'!C78=1,0,ROUND(5/5*B13%/365,5)*B16)+'UAT2-Feb'!B125)</f>
        <v>0.24659999999999996</v>
      </c>
      <c r="C124" s="552">
        <f>IF(C11="C",0,IF('New Hire'!D78=1,0,ROUND(5/5*C13%/365,5)*C16)+'UAT2-Feb'!C125)</f>
        <v>0.12329999999999998</v>
      </c>
      <c r="D124" s="552">
        <f>IF(D11="C",0,IF('New Hire'!E78=1,0,ROUND(5/5*D13%/365,5)*D16)+'UAT2-Feb'!D125)</f>
        <v>0.22741999999999998</v>
      </c>
      <c r="E124" s="552">
        <f>IF(E11="C",0,IF('New Hire'!F78=1,0,ROUND(5/5*E13%/365,5)*E16)+'UAT2-Feb'!E125)</f>
        <v>0.24659999999999996</v>
      </c>
      <c r="F124" s="552">
        <f>IF(F11="C",0,IF('New Hire'!G78=1,0,ROUND(5/5*F13%/365,5)*F16)+'UAT2-Feb'!F125)</f>
        <v>0</v>
      </c>
      <c r="G124" s="552">
        <f>IF(G11="C",0,IF('New Hire'!H78=1,0,ROUND(5/5*G13%/365,5)*G16)+'UAT2-Feb'!G125)</f>
        <v>0</v>
      </c>
      <c r="H124" s="552">
        <f>IF(H11="C",0,IF('New Hire'!I78=1,0,ROUND(5/5*H13%/365,5)*H16)+'UAT2-Feb'!H125)</f>
        <v>0.12329999999999998</v>
      </c>
      <c r="I124" s="552">
        <f>IF(I11="C",0,IF('New Hire'!J78=1,0,ROUND(5/5*I13%/365,5)*I16)+'UAT2-Feb'!I125)</f>
        <v>0.20001999999999998</v>
      </c>
      <c r="J124" s="552">
        <f>IF(J11="C",0,IF('New Hire'!K78=1,0,ROUND(5/5*J13%/365,5)*J16)+'UAT2-Feb'!J125)</f>
        <v>8.4939999999999988E-2</v>
      </c>
      <c r="K124" s="552">
        <f>IF(K11="C",0,IF('New Hire'!L78=1,0,ROUND(5/5*K13%/365,5)*K16)+'UAT2-Feb'!K125)</f>
        <v>0.24659999999999996</v>
      </c>
      <c r="L124" s="552">
        <f>IF(L11="C",0,IF('New Hire'!M78=1,0,ROUND(5/5*L13%/365,5)*L16)+'UAT2-Feb'!L125)</f>
        <v>0.24659999999999996</v>
      </c>
      <c r="M124" s="552">
        <f>IF(M11="C",0,IF('New Hire'!N78=1,0,ROUND(5/5*M13%/365,5)*M16)+'UAT2-Feb'!M125)</f>
        <v>0.24659999999999996</v>
      </c>
      <c r="N124" s="552">
        <f>IF(N11="C",0,IF('New Hire'!O78=1,0,ROUND(5/5*N13%/365,5)*N16)+'UAT2-Feb'!N125)</f>
        <v>0.24659999999999996</v>
      </c>
      <c r="O124" s="552">
        <f>IF(O11="C",0,IF('New Hire'!P78=1,0,ROUND(5/5*O13%/365,5)*O16)+'UAT2-Feb'!O125)</f>
        <v>0</v>
      </c>
    </row>
    <row r="125" spans="1:21">
      <c r="A125" s="445"/>
      <c r="B125" s="549"/>
      <c r="C125" s="549"/>
      <c r="D125" s="549"/>
      <c r="E125" s="549"/>
      <c r="F125" s="549"/>
      <c r="G125" s="549"/>
      <c r="H125" s="549"/>
      <c r="I125" s="549"/>
      <c r="J125" s="549"/>
      <c r="K125" s="549"/>
      <c r="L125" s="549"/>
      <c r="M125" s="549"/>
      <c r="N125" s="549"/>
      <c r="O125" s="549"/>
    </row>
    <row r="126" spans="1:21" ht="15.6">
      <c r="A126" s="411" t="s">
        <v>629</v>
      </c>
    </row>
    <row r="127" spans="1:21">
      <c r="A127" s="445" t="s">
        <v>479</v>
      </c>
      <c r="B127" s="452">
        <f>'New Hire'!C32</f>
        <v>5000000</v>
      </c>
      <c r="C127" s="452">
        <f>'New Hire'!D32</f>
        <v>4500000</v>
      </c>
      <c r="D127" s="452">
        <f>'New Hire'!E32</f>
        <v>7000000</v>
      </c>
      <c r="E127" s="452">
        <f>'New Hire'!F32</f>
        <v>9000000</v>
      </c>
      <c r="F127" s="452">
        <f>'New Hire'!G32</f>
        <v>14000000</v>
      </c>
      <c r="H127" s="452">
        <f>'New Hire'!I32</f>
        <v>5000</v>
      </c>
      <c r="I127" s="452">
        <f>'New Hire'!J32</f>
        <v>4000</v>
      </c>
      <c r="J127" s="452">
        <f>'New Hire'!K32</f>
        <v>50000000</v>
      </c>
      <c r="K127" s="452">
        <f>'New Hire'!L32</f>
        <v>8000000</v>
      </c>
      <c r="L127" s="452">
        <f>'New Hire'!M32</f>
        <v>90000000</v>
      </c>
      <c r="M127" s="452">
        <f>'New Hire'!N32</f>
        <v>5000000</v>
      </c>
      <c r="N127" s="452">
        <f>'New Hire'!O32</f>
        <v>6500000</v>
      </c>
    </row>
    <row r="128" spans="1:21">
      <c r="A128" s="445" t="s">
        <v>776</v>
      </c>
      <c r="B128" s="452"/>
      <c r="C128" s="452"/>
      <c r="D128" s="452"/>
      <c r="E128" s="452"/>
      <c r="F128" s="452"/>
      <c r="G128" s="452">
        <f>'New Hire'!H32</f>
        <v>200</v>
      </c>
      <c r="H128" s="452"/>
      <c r="I128" s="452"/>
      <c r="J128" s="452"/>
      <c r="K128" s="452"/>
      <c r="L128" s="452"/>
      <c r="M128" s="452"/>
      <c r="N128" s="452"/>
      <c r="O128" s="452">
        <f>'New Hire'!P32</f>
        <v>800000</v>
      </c>
    </row>
    <row r="129" spans="1:15">
      <c r="A129" s="451" t="s">
        <v>496</v>
      </c>
      <c r="B129" s="452">
        <f>'New Hire'!C34</f>
        <v>500000</v>
      </c>
      <c r="C129" s="452">
        <f>'New Hire'!D34</f>
        <v>450000</v>
      </c>
      <c r="D129" s="452">
        <f>'New Hire'!E34</f>
        <v>700000</v>
      </c>
      <c r="E129" s="452">
        <f>'New Hire'!F34</f>
        <v>0</v>
      </c>
      <c r="F129" s="452">
        <f>'New Hire'!G34</f>
        <v>0</v>
      </c>
      <c r="G129" s="452">
        <f>'New Hire'!H34</f>
        <v>0</v>
      </c>
      <c r="H129" s="452">
        <f>'New Hire'!I34</f>
        <v>500</v>
      </c>
      <c r="I129" s="452">
        <f>'New Hire'!J34</f>
        <v>0</v>
      </c>
      <c r="J129" s="452">
        <f>'New Hire'!K34</f>
        <v>5000000</v>
      </c>
      <c r="K129" s="452">
        <f>'New Hire'!L34</f>
        <v>800000</v>
      </c>
      <c r="L129" s="452">
        <f>'New Hire'!M34</f>
        <v>0</v>
      </c>
      <c r="M129" s="452">
        <f>'New Hire'!N34</f>
        <v>1000000</v>
      </c>
      <c r="N129" s="452">
        <f>'New Hire'!O34</f>
        <v>1000000</v>
      </c>
      <c r="O129" s="452">
        <f>'New Hire'!P34</f>
        <v>0</v>
      </c>
    </row>
    <row r="130" spans="1:15">
      <c r="A130" s="415" t="s">
        <v>569</v>
      </c>
      <c r="B130" s="452">
        <f>'New Hire'!C36</f>
        <v>1000000</v>
      </c>
      <c r="C130" s="452">
        <f>'New Hire'!D36</f>
        <v>900000</v>
      </c>
      <c r="D130" s="452">
        <f>'New Hire'!E36</f>
        <v>1400000</v>
      </c>
      <c r="E130" s="452">
        <f>'New Hire'!F36</f>
        <v>0</v>
      </c>
      <c r="F130" s="452">
        <f>'New Hire'!G36</f>
        <v>0</v>
      </c>
      <c r="G130" s="452">
        <f>'New Hire'!H36</f>
        <v>0</v>
      </c>
      <c r="H130" s="452">
        <f>'New Hire'!I36</f>
        <v>1000</v>
      </c>
      <c r="I130" s="452">
        <f>'New Hire'!J36</f>
        <v>0</v>
      </c>
      <c r="J130" s="452">
        <f>'New Hire'!K36</f>
        <v>10000000</v>
      </c>
      <c r="K130" s="452">
        <f>'New Hire'!L36</f>
        <v>1600000</v>
      </c>
      <c r="L130" s="452">
        <f>'New Hire'!M36</f>
        <v>0</v>
      </c>
      <c r="M130" s="452">
        <f>'New Hire'!N36</f>
        <v>1500000</v>
      </c>
      <c r="N130" s="452">
        <f>'New Hire'!O36</f>
        <v>1500000</v>
      </c>
      <c r="O130" s="452">
        <f>'New Hire'!P36</f>
        <v>0</v>
      </c>
    </row>
    <row r="131" spans="1:15">
      <c r="A131" s="423" t="s">
        <v>495</v>
      </c>
      <c r="B131" s="452"/>
      <c r="C131" s="452"/>
      <c r="D131" s="452"/>
      <c r="E131" s="452"/>
      <c r="F131" s="452"/>
      <c r="G131" s="453"/>
      <c r="H131" s="453"/>
      <c r="I131" s="453"/>
      <c r="J131" s="453"/>
      <c r="K131" s="453"/>
      <c r="L131" s="453"/>
      <c r="M131" s="453"/>
      <c r="N131" s="453"/>
      <c r="O131" s="453"/>
    </row>
    <row r="132" spans="1:15">
      <c r="A132" s="412" t="s">
        <v>530</v>
      </c>
      <c r="B132" s="452"/>
      <c r="C132" s="452"/>
      <c r="D132" s="452"/>
      <c r="E132" s="452"/>
      <c r="F132" s="455"/>
      <c r="G132" s="455"/>
      <c r="H132" s="455"/>
      <c r="I132" s="455"/>
      <c r="J132" s="455"/>
      <c r="K132" s="455"/>
      <c r="L132" s="455"/>
      <c r="M132" s="455"/>
      <c r="N132" s="455"/>
      <c r="O132" s="455"/>
    </row>
    <row r="133" spans="1:15">
      <c r="A133" s="423" t="s">
        <v>598</v>
      </c>
      <c r="B133" s="332"/>
      <c r="C133" s="332"/>
      <c r="D133" s="332"/>
      <c r="E133" s="332"/>
      <c r="F133" s="332"/>
      <c r="G133" s="340"/>
      <c r="H133" s="332"/>
      <c r="I133" s="332"/>
      <c r="J133" s="455"/>
      <c r="K133" s="455"/>
      <c r="L133" s="455"/>
      <c r="M133" s="455"/>
      <c r="N133" s="455"/>
      <c r="O133" s="455"/>
    </row>
    <row r="134" spans="1:15">
      <c r="A134" s="415" t="s">
        <v>493</v>
      </c>
      <c r="B134" s="452"/>
      <c r="C134" s="332"/>
      <c r="D134" s="332"/>
      <c r="E134" s="456"/>
      <c r="F134" s="340"/>
      <c r="G134" s="340"/>
      <c r="H134" s="332"/>
      <c r="I134" s="332"/>
      <c r="J134" s="455"/>
      <c r="K134" s="332"/>
      <c r="L134" s="455"/>
      <c r="M134" s="455"/>
      <c r="N134" s="455"/>
      <c r="O134" s="455"/>
    </row>
    <row r="135" spans="1:15">
      <c r="A135" s="415" t="s">
        <v>499</v>
      </c>
      <c r="B135" s="452"/>
      <c r="C135" s="452"/>
      <c r="D135" s="452"/>
      <c r="E135" s="456"/>
      <c r="F135" s="340"/>
      <c r="G135" s="340"/>
      <c r="H135" s="332"/>
      <c r="I135" s="332"/>
      <c r="J135" s="455"/>
      <c r="K135" s="455"/>
      <c r="L135" s="455"/>
      <c r="M135" s="455"/>
      <c r="N135" s="455"/>
      <c r="O135" s="455"/>
    </row>
    <row r="136" spans="1:15">
      <c r="A136" s="6" t="s">
        <v>630</v>
      </c>
      <c r="B136" s="452"/>
      <c r="C136" s="452"/>
      <c r="D136" s="452"/>
      <c r="E136" s="456"/>
      <c r="F136" s="340"/>
      <c r="G136" s="340"/>
      <c r="H136" s="332"/>
      <c r="I136" s="332"/>
      <c r="J136" s="455"/>
      <c r="K136" s="455"/>
      <c r="L136" s="455"/>
      <c r="M136" s="455"/>
      <c r="N136" s="455"/>
      <c r="O136" s="455"/>
    </row>
    <row r="137" spans="1:15">
      <c r="A137" s="6" t="s">
        <v>631</v>
      </c>
      <c r="B137" s="452"/>
      <c r="C137" s="452"/>
      <c r="D137" s="452"/>
      <c r="E137" s="456"/>
      <c r="F137" s="340"/>
      <c r="G137" s="340"/>
      <c r="H137" s="332"/>
      <c r="I137" s="332"/>
      <c r="J137" s="455"/>
      <c r="K137" s="455"/>
      <c r="L137" s="455"/>
      <c r="M137" s="455"/>
      <c r="N137" s="455"/>
      <c r="O137" s="455"/>
    </row>
    <row r="138" spans="1:15">
      <c r="A138" s="6" t="s">
        <v>632</v>
      </c>
      <c r="B138" s="452"/>
      <c r="C138" s="452"/>
      <c r="D138" s="452"/>
      <c r="E138" s="452"/>
      <c r="F138" s="455"/>
      <c r="G138" s="456"/>
      <c r="H138" s="340"/>
      <c r="I138" s="340"/>
      <c r="J138" s="332"/>
      <c r="K138" s="332"/>
      <c r="L138" s="340"/>
      <c r="M138" s="455"/>
      <c r="N138" s="455"/>
      <c r="O138" s="455"/>
    </row>
    <row r="139" spans="1:15">
      <c r="A139" s="412" t="s">
        <v>613</v>
      </c>
      <c r="B139" s="452"/>
      <c r="C139" s="452"/>
      <c r="D139" s="452"/>
      <c r="E139" s="452"/>
      <c r="F139" s="455"/>
      <c r="G139" s="456"/>
      <c r="H139" s="340">
        <v>100</v>
      </c>
      <c r="I139" s="340">
        <v>100</v>
      </c>
      <c r="J139" s="332"/>
      <c r="K139" s="455"/>
      <c r="L139" s="340"/>
      <c r="M139" s="455"/>
      <c r="N139" s="455"/>
      <c r="O139" s="455"/>
    </row>
    <row r="140" spans="1:15">
      <c r="A140" s="412" t="s">
        <v>614</v>
      </c>
      <c r="B140" s="452"/>
      <c r="C140" s="452"/>
      <c r="D140" s="452"/>
      <c r="E140" s="452"/>
      <c r="F140" s="455"/>
      <c r="G140" s="456"/>
      <c r="H140" s="340">
        <v>200</v>
      </c>
      <c r="I140" s="340">
        <v>200</v>
      </c>
      <c r="J140" s="332"/>
      <c r="K140" s="455"/>
      <c r="L140" s="340"/>
      <c r="M140" s="455"/>
      <c r="N140" s="455"/>
      <c r="O140" s="455"/>
    </row>
    <row r="141" spans="1:15">
      <c r="A141" s="6" t="s">
        <v>633</v>
      </c>
      <c r="B141" s="452">
        <f t="shared" ref="B141:O141" si="46">IF(OR(B18="A",B18="B"),B127,(B127-B139-B140)*B91)</f>
        <v>5000000</v>
      </c>
      <c r="C141" s="452">
        <f t="shared" si="46"/>
        <v>4500000</v>
      </c>
      <c r="D141" s="452">
        <f t="shared" si="46"/>
        <v>7000000</v>
      </c>
      <c r="E141" s="452">
        <f t="shared" si="46"/>
        <v>9000000</v>
      </c>
      <c r="F141" s="452">
        <f t="shared" si="46"/>
        <v>14000000</v>
      </c>
      <c r="G141" s="452">
        <f t="shared" si="46"/>
        <v>0</v>
      </c>
      <c r="H141" s="452">
        <f t="shared" si="46"/>
        <v>4700</v>
      </c>
      <c r="I141" s="452">
        <f t="shared" si="46"/>
        <v>3700</v>
      </c>
      <c r="J141" s="452">
        <f t="shared" si="46"/>
        <v>50000000</v>
      </c>
      <c r="K141" s="452">
        <f t="shared" si="46"/>
        <v>8000000</v>
      </c>
      <c r="L141" s="452">
        <f t="shared" si="46"/>
        <v>90000000</v>
      </c>
      <c r="M141" s="452">
        <f t="shared" si="46"/>
        <v>5000000</v>
      </c>
      <c r="N141" s="452">
        <f t="shared" si="46"/>
        <v>6500000</v>
      </c>
      <c r="O141" s="452">
        <f t="shared" si="46"/>
        <v>0</v>
      </c>
    </row>
    <row r="142" spans="1:15">
      <c r="A142" s="6" t="s">
        <v>635</v>
      </c>
      <c r="B142" s="452">
        <f t="shared" ref="B142:O142" si="47">IF(OR(B18="A",B18="B"),0,ROUND(B141*$B$5,0)+ROUND(B129*$B$5,0)+ROUND(B130*$B$5,0)+ROUND(B132*$B$5,0))</f>
        <v>0</v>
      </c>
      <c r="C142" s="452">
        <f t="shared" si="47"/>
        <v>0</v>
      </c>
      <c r="D142" s="452">
        <f t="shared" si="47"/>
        <v>0</v>
      </c>
      <c r="E142" s="452">
        <f t="shared" si="47"/>
        <v>0</v>
      </c>
      <c r="F142" s="452">
        <f t="shared" si="47"/>
        <v>0</v>
      </c>
      <c r="G142" s="452">
        <f t="shared" si="47"/>
        <v>0</v>
      </c>
      <c r="H142" s="452">
        <f t="shared" si="47"/>
        <v>145700000</v>
      </c>
      <c r="I142" s="452">
        <f t="shared" si="47"/>
        <v>86950000</v>
      </c>
      <c r="J142" s="452">
        <f t="shared" si="47"/>
        <v>0</v>
      </c>
      <c r="K142" s="452">
        <f t="shared" si="47"/>
        <v>0</v>
      </c>
      <c r="L142" s="452">
        <f t="shared" si="47"/>
        <v>0</v>
      </c>
      <c r="M142" s="452">
        <f t="shared" si="47"/>
        <v>0</v>
      </c>
      <c r="N142" s="452">
        <f t="shared" si="47"/>
        <v>0</v>
      </c>
      <c r="O142" s="452">
        <f t="shared" si="47"/>
        <v>0</v>
      </c>
    </row>
    <row r="143" spans="1:15">
      <c r="A143" s="6" t="s">
        <v>665</v>
      </c>
      <c r="B143" s="5">
        <v>0</v>
      </c>
      <c r="C143" s="5">
        <v>0</v>
      </c>
      <c r="D143" s="5">
        <v>0</v>
      </c>
      <c r="E143" s="5">
        <v>0</v>
      </c>
      <c r="F143" s="5">
        <v>0</v>
      </c>
      <c r="G143" s="5">
        <v>0</v>
      </c>
      <c r="H143" s="5">
        <v>0</v>
      </c>
      <c r="I143" s="5">
        <v>0</v>
      </c>
      <c r="J143" s="5">
        <v>0</v>
      </c>
      <c r="K143" s="5">
        <v>0</v>
      </c>
      <c r="L143" s="5">
        <v>0</v>
      </c>
      <c r="M143" s="5">
        <v>0</v>
      </c>
      <c r="N143" s="5">
        <v>0</v>
      </c>
      <c r="O143" s="5">
        <v>0</v>
      </c>
    </row>
  </sheetData>
  <mergeCells count="5">
    <mergeCell ref="G6:J6"/>
    <mergeCell ref="X6:AA6"/>
    <mergeCell ref="P7:P8"/>
    <mergeCell ref="X9:AA12"/>
    <mergeCell ref="X46:AA46"/>
  </mergeCells>
  <phoneticPr fontId="104" type="noConversion"/>
  <pageMargins left="0.75" right="0.75" top="1" bottom="1" header="0.5" footer="0.5"/>
  <pageSetup paperSize="9" orientation="portrait" verticalDpi="90"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150"/>
  <sheetViews>
    <sheetView workbookViewId="0">
      <pane xSplit="1" ySplit="9" topLeftCell="B22" activePane="bottomRight" state="frozen"/>
      <selection pane="topRight" activeCell="B1" sqref="B1"/>
      <selection pane="bottomLeft" activeCell="A10" sqref="A10"/>
      <selection pane="bottomRight" activeCell="D31" sqref="D31"/>
    </sheetView>
  </sheetViews>
  <sheetFormatPr defaultRowHeight="13.8"/>
  <cols>
    <col min="1" max="1" width="31" style="5" bestFit="1" customWidth="1"/>
    <col min="2" max="5" width="10.77734375" style="5" customWidth="1"/>
    <col min="6" max="8" width="10.77734375" customWidth="1"/>
    <col min="9" max="9" width="11.6640625" bestFit="1" customWidth="1"/>
    <col min="10" max="15" width="10.77734375" customWidth="1"/>
    <col min="16" max="16" width="12.6640625" bestFit="1" customWidth="1"/>
    <col min="17" max="18" width="12.77734375" customWidth="1"/>
    <col min="19" max="21" width="10.77734375" customWidth="1"/>
    <col min="22" max="26" width="9.33203125" style="5" customWidth="1"/>
    <col min="27" max="27" width="10.77734375" style="5" bestFit="1" customWidth="1"/>
    <col min="28" max="29" width="9.33203125" style="5" customWidth="1"/>
  </cols>
  <sheetData>
    <row r="1" spans="1:29" s="3" customFormat="1" ht="20.399999999999999">
      <c r="A1" s="110" t="s">
        <v>6</v>
      </c>
      <c r="B1" s="110"/>
      <c r="C1" s="110"/>
      <c r="D1" s="110"/>
      <c r="E1" s="110"/>
      <c r="F1" s="449"/>
      <c r="L1" s="8"/>
      <c r="X1" s="1"/>
      <c r="Y1" s="1"/>
      <c r="Z1" s="1"/>
      <c r="AA1" s="1"/>
      <c r="AB1" s="1"/>
      <c r="AC1" s="1"/>
    </row>
    <row r="2" spans="1:29" s="3" customFormat="1" ht="12.75" customHeight="1">
      <c r="B2" s="116"/>
      <c r="C2" s="116"/>
      <c r="D2" s="116"/>
      <c r="E2" s="115"/>
      <c r="V2" s="22"/>
      <c r="W2" s="22"/>
      <c r="X2" s="22"/>
      <c r="Y2" s="22"/>
      <c r="Z2" s="22"/>
      <c r="AA2" s="2"/>
      <c r="AC2" s="2"/>
    </row>
    <row r="3" spans="1:29" s="3" customFormat="1" ht="30">
      <c r="A3" s="112" t="s">
        <v>1201</v>
      </c>
      <c r="B3" s="116"/>
      <c r="C3" s="116"/>
      <c r="D3" s="116"/>
      <c r="E3" s="112"/>
      <c r="V3" s="22"/>
      <c r="W3" s="22"/>
      <c r="X3" s="22"/>
      <c r="Y3" s="22"/>
      <c r="Z3" s="22"/>
      <c r="AA3" s="2"/>
      <c r="AC3" s="2"/>
    </row>
    <row r="4" spans="1:29" s="116" customFormat="1">
      <c r="A4" s="116" t="s">
        <v>541</v>
      </c>
      <c r="B4" s="367">
        <v>23205</v>
      </c>
    </row>
    <row r="5" spans="1:29" s="116" customFormat="1">
      <c r="A5" s="116" t="s">
        <v>1273</v>
      </c>
      <c r="B5" s="367">
        <v>23500</v>
      </c>
    </row>
    <row r="6" spans="1:29" s="3" customFormat="1" ht="18" customHeight="1">
      <c r="A6" s="327">
        <v>43585</v>
      </c>
      <c r="B6" s="116"/>
      <c r="C6" s="116"/>
      <c r="D6" s="116"/>
      <c r="G6" s="721" t="s">
        <v>52</v>
      </c>
      <c r="H6" s="721"/>
      <c r="I6" s="721"/>
      <c r="J6" s="721"/>
      <c r="V6" s="22"/>
      <c r="W6" s="22"/>
      <c r="X6" s="720" t="s">
        <v>65</v>
      </c>
      <c r="Y6" s="720"/>
      <c r="Z6" s="720"/>
      <c r="AA6" s="720"/>
      <c r="AB6" s="2"/>
      <c r="AC6" s="2"/>
    </row>
    <row r="7" spans="1:29" s="4" customFormat="1">
      <c r="A7" s="409"/>
      <c r="B7" s="323" t="s">
        <v>34</v>
      </c>
      <c r="C7" s="324" t="s">
        <v>35</v>
      </c>
      <c r="D7" s="324" t="s">
        <v>36</v>
      </c>
      <c r="E7" s="324" t="s">
        <v>37</v>
      </c>
      <c r="F7" s="324" t="s">
        <v>38</v>
      </c>
      <c r="G7" s="324" t="s">
        <v>39</v>
      </c>
      <c r="H7" s="324" t="s">
        <v>40</v>
      </c>
      <c r="I7" s="324" t="s">
        <v>41</v>
      </c>
      <c r="J7" s="324" t="s">
        <v>42</v>
      </c>
      <c r="K7" s="324" t="s">
        <v>43</v>
      </c>
      <c r="L7" s="324" t="s">
        <v>44</v>
      </c>
      <c r="M7" s="324" t="s">
        <v>45</v>
      </c>
      <c r="N7" s="324" t="s">
        <v>46</v>
      </c>
      <c r="O7" s="324" t="s">
        <v>47</v>
      </c>
      <c r="P7" s="731" t="s">
        <v>500</v>
      </c>
      <c r="Q7" s="349" t="s">
        <v>516</v>
      </c>
      <c r="R7" s="349" t="s">
        <v>517</v>
      </c>
      <c r="S7" s="349" t="s">
        <v>519</v>
      </c>
      <c r="T7" s="349" t="s">
        <v>521</v>
      </c>
      <c r="U7" s="349" t="s">
        <v>523</v>
      </c>
      <c r="V7" s="350"/>
      <c r="W7" s="351"/>
      <c r="X7" s="351"/>
      <c r="Y7" s="351"/>
      <c r="Z7" s="351"/>
      <c r="AA7" s="351"/>
      <c r="AB7" s="351"/>
      <c r="AC7" s="352"/>
    </row>
    <row r="8" spans="1:29" ht="15.6">
      <c r="A8" s="410"/>
      <c r="B8" s="117">
        <f>'New Hire'!C6</f>
        <v>91999901</v>
      </c>
      <c r="C8" s="339">
        <f>'New Hire'!D6</f>
        <v>91999902</v>
      </c>
      <c r="D8" s="339">
        <f>'New Hire'!E6</f>
        <v>91999903</v>
      </c>
      <c r="E8" s="339">
        <f>'New Hire'!F6</f>
        <v>91999904</v>
      </c>
      <c r="F8" s="339">
        <f>'New Hire'!G6</f>
        <v>91999905</v>
      </c>
      <c r="G8" s="339">
        <f>'New Hire'!H6</f>
        <v>91999906</v>
      </c>
      <c r="H8" s="339">
        <f>'New Hire'!I6</f>
        <v>91999907</v>
      </c>
      <c r="I8" s="339">
        <f>'New Hire'!J6</f>
        <v>91999908</v>
      </c>
      <c r="J8" s="339">
        <f>'New Hire'!K6</f>
        <v>91999909</v>
      </c>
      <c r="K8" s="339">
        <f>'New Hire'!L6</f>
        <v>91999910</v>
      </c>
      <c r="L8" s="339">
        <f>'New Hire'!M6</f>
        <v>91999911</v>
      </c>
      <c r="M8" s="339">
        <f>'New Hire'!N6</f>
        <v>91999912</v>
      </c>
      <c r="N8" s="339">
        <f>'New Hire'!O6</f>
        <v>91999913</v>
      </c>
      <c r="O8" s="339">
        <f>'New Hire'!P6</f>
        <v>91999914</v>
      </c>
      <c r="P8" s="732"/>
      <c r="Q8" s="349" t="s">
        <v>515</v>
      </c>
      <c r="R8" s="349" t="s">
        <v>518</v>
      </c>
      <c r="S8" s="349" t="s">
        <v>520</v>
      </c>
      <c r="T8" s="349" t="s">
        <v>522</v>
      </c>
      <c r="U8" s="349" t="s">
        <v>524</v>
      </c>
      <c r="V8" s="47"/>
      <c r="W8" s="48"/>
      <c r="X8" s="20"/>
      <c r="Y8" s="20"/>
      <c r="Z8" s="20"/>
      <c r="AA8" s="20"/>
      <c r="AB8" s="20"/>
      <c r="AC8" s="15"/>
    </row>
    <row r="9" spans="1:29" ht="12.75" customHeight="1">
      <c r="A9" s="411" t="s">
        <v>63</v>
      </c>
      <c r="B9" s="23"/>
      <c r="C9" s="19"/>
      <c r="D9" s="19"/>
      <c r="E9" s="20"/>
      <c r="F9" s="19"/>
      <c r="G9" s="19"/>
      <c r="H9" s="21"/>
      <c r="I9" s="19"/>
      <c r="J9" s="19"/>
      <c r="K9" s="20"/>
      <c r="L9" s="20"/>
      <c r="M9" s="20"/>
      <c r="N9" s="20"/>
      <c r="O9" s="15"/>
      <c r="P9" s="15"/>
      <c r="Q9" s="20"/>
      <c r="R9" s="20"/>
      <c r="S9" s="20"/>
      <c r="T9" s="20"/>
      <c r="U9" s="20"/>
      <c r="V9" s="25"/>
      <c r="W9" s="26"/>
      <c r="X9" s="722" t="s">
        <v>608</v>
      </c>
      <c r="Y9" s="723"/>
      <c r="Z9" s="723"/>
      <c r="AA9" s="724"/>
      <c r="AB9" s="27"/>
      <c r="AC9" s="18"/>
    </row>
    <row r="10" spans="1:29">
      <c r="A10" s="424" t="s">
        <v>480</v>
      </c>
      <c r="B10" s="385">
        <v>43556</v>
      </c>
      <c r="C10" s="385">
        <v>43556</v>
      </c>
      <c r="D10" s="385">
        <v>43556</v>
      </c>
      <c r="E10" s="385">
        <v>43556</v>
      </c>
      <c r="F10" s="385">
        <v>43556</v>
      </c>
      <c r="G10" s="385">
        <v>43556</v>
      </c>
      <c r="H10" s="385">
        <v>43556</v>
      </c>
      <c r="I10" s="385">
        <v>43556</v>
      </c>
      <c r="J10" s="385">
        <v>43556</v>
      </c>
      <c r="K10" s="385">
        <v>43556</v>
      </c>
      <c r="L10" s="385">
        <v>43556</v>
      </c>
      <c r="M10" s="385">
        <v>43556</v>
      </c>
      <c r="N10" s="385">
        <v>43556</v>
      </c>
      <c r="O10" s="386">
        <v>43556</v>
      </c>
      <c r="P10" s="15"/>
      <c r="Q10" s="20"/>
      <c r="R10" s="20"/>
      <c r="S10" s="20"/>
      <c r="T10" s="20"/>
      <c r="U10" s="20"/>
      <c r="V10" s="28"/>
      <c r="W10" s="29"/>
      <c r="X10" s="725"/>
      <c r="Y10" s="726"/>
      <c r="Z10" s="726"/>
      <c r="AA10" s="727"/>
      <c r="AB10" s="30"/>
      <c r="AC10" s="15"/>
    </row>
    <row r="11" spans="1:29" ht="12.75" customHeight="1">
      <c r="A11" s="99" t="s">
        <v>491</v>
      </c>
      <c r="B11" s="387" t="str">
        <f>'New Hire'!C10</f>
        <v>1</v>
      </c>
      <c r="C11" s="388" t="str">
        <f>'New Hire'!D10</f>
        <v>P</v>
      </c>
      <c r="D11" s="388" t="str">
        <f>'New Hire'!E10</f>
        <v>3</v>
      </c>
      <c r="E11" s="388" t="str">
        <f>'New Hire'!F10</f>
        <v>3</v>
      </c>
      <c r="F11" s="388">
        <f>'New Hire'!G10</f>
        <v>4</v>
      </c>
      <c r="G11" s="388" t="str">
        <f>'New Hire'!H10</f>
        <v>C</v>
      </c>
      <c r="H11" s="388" t="str">
        <f>'New Hire'!I10</f>
        <v>I</v>
      </c>
      <c r="I11" s="388" t="str">
        <f>'New Hire'!J10</f>
        <v>S</v>
      </c>
      <c r="J11" s="388" t="str">
        <f>'New Hire'!K10</f>
        <v>P</v>
      </c>
      <c r="K11" s="388" t="str">
        <f>'New Hire'!L10</f>
        <v>1</v>
      </c>
      <c r="L11" s="388" t="str">
        <f>'New Hire'!M10</f>
        <v>1</v>
      </c>
      <c r="M11" s="388">
        <f>'New Hire'!N10</f>
        <v>3</v>
      </c>
      <c r="N11" s="388">
        <f>'New Hire'!O10</f>
        <v>3</v>
      </c>
      <c r="O11" s="389" t="str">
        <f>'New Hire'!P10</f>
        <v>C</v>
      </c>
      <c r="P11" s="15"/>
      <c r="Q11" s="20"/>
      <c r="R11" s="20"/>
      <c r="S11" s="20"/>
      <c r="T11" s="20"/>
      <c r="U11" s="20"/>
      <c r="V11" s="32"/>
      <c r="W11" s="20"/>
      <c r="X11" s="725"/>
      <c r="Y11" s="726"/>
      <c r="Z11" s="726"/>
      <c r="AA11" s="727"/>
      <c r="AB11" s="20"/>
      <c r="AC11" s="15"/>
    </row>
    <row r="12" spans="1:29" ht="12.75" customHeight="1">
      <c r="A12" s="99" t="s">
        <v>492</v>
      </c>
      <c r="B12" s="390" t="str">
        <f>'New Hire'!C11</f>
        <v>;P</v>
      </c>
      <c r="C12" s="391" t="str">
        <f>'New Hire'!D11</f>
        <v>;A</v>
      </c>
      <c r="D12" s="391" t="str">
        <f>'New Hire'!E11</f>
        <v>;E</v>
      </c>
      <c r="E12" s="391" t="str">
        <f>'New Hire'!F11</f>
        <v>;I</v>
      </c>
      <c r="F12" s="391" t="str">
        <f>'New Hire'!G11</f>
        <v>;P</v>
      </c>
      <c r="G12" s="391" t="str">
        <f>'New Hire'!H11</f>
        <v>;A</v>
      </c>
      <c r="H12" s="391" t="str">
        <f>'New Hire'!I11</f>
        <v>;A</v>
      </c>
      <c r="I12" s="391" t="str">
        <f>'New Hire'!J11</f>
        <v>;V</v>
      </c>
      <c r="J12" s="391" t="str">
        <f>'New Hire'!K11</f>
        <v>;P</v>
      </c>
      <c r="K12" s="391" t="str">
        <f>'New Hire'!L11</f>
        <v>;A</v>
      </c>
      <c r="L12" s="391" t="str">
        <f>'New Hire'!M11</f>
        <v>;I</v>
      </c>
      <c r="M12" s="391" t="str">
        <f>'New Hire'!N11</f>
        <v>;P</v>
      </c>
      <c r="N12" s="391" t="str">
        <f>'New Hire'!O11</f>
        <v>;I</v>
      </c>
      <c r="O12" s="392" t="str">
        <f>'New Hire'!P11</f>
        <v>;I</v>
      </c>
      <c r="P12" s="15"/>
      <c r="Q12" s="20"/>
      <c r="R12" s="20"/>
      <c r="S12" s="20"/>
      <c r="T12" s="20"/>
      <c r="U12" s="20"/>
      <c r="V12" s="32"/>
      <c r="W12" s="20"/>
      <c r="X12" s="728"/>
      <c r="Y12" s="729"/>
      <c r="Z12" s="729"/>
      <c r="AA12" s="730"/>
      <c r="AB12" s="20"/>
      <c r="AC12" s="15"/>
    </row>
    <row r="13" spans="1:29">
      <c r="A13" s="100" t="s">
        <v>477</v>
      </c>
      <c r="B13" s="394">
        <f>'New Hire'!C26</f>
        <v>100</v>
      </c>
      <c r="C13" s="338">
        <f>'New Hire'!D26</f>
        <v>50</v>
      </c>
      <c r="D13" s="338">
        <f>'New Hire'!E26</f>
        <v>100</v>
      </c>
      <c r="E13" s="338">
        <f>'New Hire'!F26</f>
        <v>100</v>
      </c>
      <c r="F13" s="338">
        <f>'New Hire'!G26</f>
        <v>100</v>
      </c>
      <c r="G13" s="338">
        <f>'New Hire'!H26</f>
        <v>100</v>
      </c>
      <c r="H13" s="338">
        <f>'New Hire'!I26</f>
        <v>50</v>
      </c>
      <c r="I13" s="338">
        <f>'New Hire'!J26</f>
        <v>100</v>
      </c>
      <c r="J13" s="338">
        <f>'New Hire'!K26</f>
        <v>50</v>
      </c>
      <c r="K13" s="338">
        <f>'New Hire'!L26</f>
        <v>100</v>
      </c>
      <c r="L13" s="338">
        <f>'New Hire'!M26</f>
        <v>100</v>
      </c>
      <c r="M13" s="338">
        <f>'New Hire'!N26</f>
        <v>100</v>
      </c>
      <c r="N13" s="338">
        <f>'New Hire'!O26</f>
        <v>100</v>
      </c>
      <c r="O13" s="395">
        <f>'New Hire'!P26</f>
        <v>100</v>
      </c>
      <c r="P13" s="15"/>
      <c r="Q13" s="20"/>
      <c r="R13" s="20"/>
      <c r="S13" s="20"/>
      <c r="T13" s="20"/>
      <c r="U13" s="20"/>
      <c r="V13" s="23"/>
      <c r="W13" s="19"/>
      <c r="X13" s="19"/>
      <c r="Y13" s="19"/>
      <c r="Z13" s="19"/>
      <c r="AA13" s="19"/>
      <c r="AB13" s="19"/>
      <c r="AC13" s="31"/>
    </row>
    <row r="14" spans="1:29">
      <c r="A14" s="99" t="s">
        <v>481</v>
      </c>
      <c r="B14" s="394">
        <f t="shared" ref="B14:O14" si="0">NETWORKDAYS(B10,$A$6)</f>
        <v>22</v>
      </c>
      <c r="C14" s="338">
        <f t="shared" si="0"/>
        <v>22</v>
      </c>
      <c r="D14" s="338">
        <f t="shared" si="0"/>
        <v>22</v>
      </c>
      <c r="E14" s="338">
        <f t="shared" si="0"/>
        <v>22</v>
      </c>
      <c r="F14" s="338">
        <f t="shared" si="0"/>
        <v>22</v>
      </c>
      <c r="G14" s="338">
        <f t="shared" si="0"/>
        <v>22</v>
      </c>
      <c r="H14" s="338">
        <f t="shared" si="0"/>
        <v>22</v>
      </c>
      <c r="I14" s="338">
        <f t="shared" si="0"/>
        <v>22</v>
      </c>
      <c r="J14" s="338">
        <f t="shared" si="0"/>
        <v>22</v>
      </c>
      <c r="K14" s="338">
        <f t="shared" si="0"/>
        <v>22</v>
      </c>
      <c r="L14" s="338">
        <f t="shared" si="0"/>
        <v>22</v>
      </c>
      <c r="M14" s="338">
        <f t="shared" si="0"/>
        <v>22</v>
      </c>
      <c r="N14" s="338">
        <f t="shared" si="0"/>
        <v>22</v>
      </c>
      <c r="O14" s="395">
        <f t="shared" si="0"/>
        <v>22</v>
      </c>
      <c r="P14" s="15"/>
      <c r="Q14" s="20"/>
      <c r="R14" s="20"/>
      <c r="S14" s="20"/>
      <c r="T14" s="20"/>
      <c r="U14" s="20"/>
      <c r="V14" s="23"/>
      <c r="W14" s="19"/>
      <c r="X14" s="19"/>
      <c r="Y14" s="19"/>
      <c r="Z14" s="19"/>
      <c r="AA14" s="19"/>
      <c r="AB14" s="19"/>
      <c r="AC14" s="31"/>
    </row>
    <row r="15" spans="1:29">
      <c r="A15" s="424" t="s">
        <v>639</v>
      </c>
      <c r="B15" s="338">
        <f>NETWORKDAYS(EOMONTH($A$6,-1)+1,EOMONTH($A$6,0))</f>
        <v>22</v>
      </c>
      <c r="C15" s="338">
        <f t="shared" ref="C15:O15" si="1">NETWORKDAYS(EOMONTH($A$6,-1)+1,EOMONTH($A$6,0))</f>
        <v>22</v>
      </c>
      <c r="D15" s="338">
        <f t="shared" si="1"/>
        <v>22</v>
      </c>
      <c r="E15" s="338">
        <f t="shared" si="1"/>
        <v>22</v>
      </c>
      <c r="F15" s="338">
        <f t="shared" si="1"/>
        <v>22</v>
      </c>
      <c r="G15" s="338">
        <f t="shared" si="1"/>
        <v>22</v>
      </c>
      <c r="H15" s="338">
        <f t="shared" si="1"/>
        <v>22</v>
      </c>
      <c r="I15" s="338">
        <f t="shared" si="1"/>
        <v>22</v>
      </c>
      <c r="J15" s="338">
        <f t="shared" si="1"/>
        <v>22</v>
      </c>
      <c r="K15" s="338">
        <f t="shared" si="1"/>
        <v>22</v>
      </c>
      <c r="L15" s="338">
        <f t="shared" si="1"/>
        <v>22</v>
      </c>
      <c r="M15" s="338">
        <f t="shared" si="1"/>
        <v>22</v>
      </c>
      <c r="N15" s="338">
        <f t="shared" si="1"/>
        <v>22</v>
      </c>
      <c r="O15" s="395">
        <f t="shared" si="1"/>
        <v>22</v>
      </c>
      <c r="P15" s="15"/>
      <c r="Q15" s="20"/>
      <c r="R15" s="20"/>
      <c r="S15" s="20"/>
      <c r="T15" s="20"/>
      <c r="U15" s="20"/>
      <c r="V15" s="23"/>
      <c r="W15" s="19"/>
      <c r="X15" s="19"/>
      <c r="Y15" s="19"/>
      <c r="Z15" s="19"/>
      <c r="AA15" s="19"/>
      <c r="AB15" s="19"/>
      <c r="AC15" s="31"/>
    </row>
    <row r="16" spans="1:29">
      <c r="A16" s="99" t="s">
        <v>513</v>
      </c>
      <c r="B16" s="396">
        <f t="shared" ref="B16:O16" si="2">_xlfn.DAYS($A$6,B10)+1</f>
        <v>30</v>
      </c>
      <c r="C16" s="335">
        <f t="shared" si="2"/>
        <v>30</v>
      </c>
      <c r="D16" s="335">
        <f t="shared" si="2"/>
        <v>30</v>
      </c>
      <c r="E16" s="335">
        <f t="shared" si="2"/>
        <v>30</v>
      </c>
      <c r="F16" s="335">
        <f t="shared" si="2"/>
        <v>30</v>
      </c>
      <c r="G16" s="335">
        <f t="shared" si="2"/>
        <v>30</v>
      </c>
      <c r="H16" s="335">
        <f t="shared" si="2"/>
        <v>30</v>
      </c>
      <c r="I16" s="335">
        <f t="shared" si="2"/>
        <v>30</v>
      </c>
      <c r="J16" s="335">
        <f t="shared" si="2"/>
        <v>30</v>
      </c>
      <c r="K16" s="335">
        <f t="shared" si="2"/>
        <v>30</v>
      </c>
      <c r="L16" s="335">
        <f t="shared" si="2"/>
        <v>30</v>
      </c>
      <c r="M16" s="335">
        <f t="shared" si="2"/>
        <v>30</v>
      </c>
      <c r="N16" s="335">
        <f t="shared" si="2"/>
        <v>30</v>
      </c>
      <c r="O16" s="397">
        <f t="shared" si="2"/>
        <v>30</v>
      </c>
      <c r="P16" s="15"/>
      <c r="Q16" s="20"/>
      <c r="R16" s="20"/>
      <c r="S16" s="20"/>
      <c r="T16" s="20"/>
      <c r="U16" s="20"/>
      <c r="V16" s="23"/>
      <c r="W16" s="19"/>
      <c r="X16" s="19"/>
      <c r="Y16" s="19"/>
      <c r="Z16" s="19"/>
      <c r="AA16" s="19"/>
      <c r="AB16" s="19"/>
      <c r="AC16" s="31"/>
    </row>
    <row r="17" spans="1:29">
      <c r="A17" s="99" t="s">
        <v>533</v>
      </c>
      <c r="B17" s="336">
        <f>DATEDIF('New Hire'!C41,$A$6,"Y")</f>
        <v>9</v>
      </c>
      <c r="C17" s="337">
        <f>DATEDIF('New Hire'!D41,$A$6,"Y")</f>
        <v>13</v>
      </c>
      <c r="D17" s="337">
        <f>DATEDIF('New Hire'!E41,$A$6,"Y")</f>
        <v>0</v>
      </c>
      <c r="E17" s="337">
        <f>DATEDIF('New Hire'!F41,$A$6,"Y")</f>
        <v>3</v>
      </c>
      <c r="F17" s="337">
        <f>DATEDIF('New Hire'!G41,$A$6,"Y")</f>
        <v>9</v>
      </c>
      <c r="G17" s="337">
        <f>DATEDIF('New Hire'!H41,$A$6,"Y")</f>
        <v>0</v>
      </c>
      <c r="H17" s="337">
        <f>DATEDIF('New Hire'!I41,$A$6,"Y")</f>
        <v>14</v>
      </c>
      <c r="I17" s="337">
        <f>DATEDIF('New Hire'!J41,$A$6,"Y")</f>
        <v>0</v>
      </c>
      <c r="J17" s="337">
        <f>DATEDIF('New Hire'!K41,$A$6,"Y")</f>
        <v>0</v>
      </c>
      <c r="K17" s="337">
        <f>DATEDIF('New Hire'!L41,$A$6,"Y")</f>
        <v>9</v>
      </c>
      <c r="L17" s="337">
        <f>DATEDIF('New Hire'!M41,$A$6,"Y")</f>
        <v>4</v>
      </c>
      <c r="M17" s="337">
        <f>DATEDIF('New Hire'!N41,$A$6,"Y")</f>
        <v>0</v>
      </c>
      <c r="N17" s="337">
        <f>DATEDIF('New Hire'!O41,$A$6,"Y")</f>
        <v>11</v>
      </c>
      <c r="O17" s="393">
        <f>DATEDIF('New Hire'!P41,$A$6,"Y")</f>
        <v>0</v>
      </c>
      <c r="P17" s="15"/>
      <c r="Q17" s="20"/>
      <c r="R17" s="20"/>
      <c r="S17" s="20"/>
      <c r="T17" s="20"/>
      <c r="U17" s="20"/>
      <c r="V17" s="23"/>
      <c r="W17" s="19"/>
      <c r="X17" s="19"/>
      <c r="Y17" s="19"/>
      <c r="Z17" s="19"/>
      <c r="AA17" s="19"/>
      <c r="AB17" s="19"/>
      <c r="AC17" s="31"/>
    </row>
    <row r="18" spans="1:29">
      <c r="A18" s="99" t="s">
        <v>566</v>
      </c>
      <c r="B18" s="336" t="str">
        <f>'New Hire'!C54</f>
        <v>A</v>
      </c>
      <c r="C18" s="337" t="str">
        <f>'New Hire'!D54</f>
        <v>A</v>
      </c>
      <c r="D18" s="337" t="str">
        <f>'New Hire'!E54</f>
        <v>A</v>
      </c>
      <c r="E18" s="337" t="str">
        <f>'New Hire'!F54</f>
        <v>B</v>
      </c>
      <c r="F18" s="337" t="str">
        <f>'New Hire'!G54</f>
        <v>B</v>
      </c>
      <c r="G18" s="337" t="str">
        <f>'New Hire'!H54</f>
        <v>C</v>
      </c>
      <c r="H18" s="337" t="str">
        <f>'New Hire'!I54</f>
        <v>D</v>
      </c>
      <c r="I18" s="337" t="str">
        <f>'New Hire'!J54</f>
        <v>D</v>
      </c>
      <c r="J18" s="337" t="str">
        <f>'New Hire'!K54</f>
        <v>A</v>
      </c>
      <c r="K18" s="337" t="str">
        <f>'New Hire'!L54</f>
        <v>A</v>
      </c>
      <c r="L18" s="337" t="str">
        <f>'New Hire'!M54</f>
        <v>A</v>
      </c>
      <c r="M18" s="337" t="str">
        <f>'New Hire'!N54</f>
        <v>A</v>
      </c>
      <c r="N18" s="337" t="str">
        <f>'New Hire'!O54</f>
        <v>A</v>
      </c>
      <c r="O18" s="393" t="str">
        <f>'New Hire'!P54</f>
        <v>B</v>
      </c>
      <c r="P18" s="15"/>
      <c r="Q18" s="20"/>
      <c r="R18" s="20"/>
      <c r="S18" s="20"/>
      <c r="T18" s="20"/>
      <c r="U18" s="20"/>
      <c r="V18" s="23"/>
      <c r="W18" s="19"/>
      <c r="X18" s="19"/>
      <c r="Y18" s="19"/>
      <c r="Z18" s="19"/>
      <c r="AA18" s="19"/>
      <c r="AB18" s="19"/>
      <c r="AC18" s="31"/>
    </row>
    <row r="19" spans="1:29">
      <c r="A19" s="98" t="s">
        <v>107</v>
      </c>
      <c r="B19" s="91">
        <v>1</v>
      </c>
      <c r="C19" s="89">
        <v>2</v>
      </c>
      <c r="D19" s="89">
        <v>1</v>
      </c>
      <c r="E19" s="89">
        <v>3</v>
      </c>
      <c r="F19" s="89">
        <v>0</v>
      </c>
      <c r="G19" s="89">
        <v>0</v>
      </c>
      <c r="H19" s="89">
        <v>2</v>
      </c>
      <c r="I19" s="89">
        <v>0</v>
      </c>
      <c r="J19" s="89">
        <v>0</v>
      </c>
      <c r="K19" s="89">
        <v>0</v>
      </c>
      <c r="L19" s="89">
        <v>0</v>
      </c>
      <c r="M19" s="89">
        <v>0</v>
      </c>
      <c r="N19" s="89">
        <v>0</v>
      </c>
      <c r="O19" s="398">
        <v>0</v>
      </c>
      <c r="P19" s="15"/>
      <c r="Q19" s="20"/>
      <c r="R19" s="20"/>
      <c r="S19" s="20"/>
      <c r="T19" s="20"/>
      <c r="U19" s="20"/>
      <c r="V19" s="23"/>
      <c r="W19" s="19"/>
      <c r="X19" s="19"/>
      <c r="Y19" s="19"/>
      <c r="Z19" s="19"/>
      <c r="AA19" s="19"/>
      <c r="AB19" s="19"/>
      <c r="AC19" s="31"/>
    </row>
    <row r="20" spans="1:29" ht="15.6">
      <c r="A20" s="97" t="s">
        <v>113</v>
      </c>
      <c r="B20" s="325">
        <f>3600000*B19</f>
        <v>3600000</v>
      </c>
      <c r="C20" s="90">
        <f t="shared" ref="C20:O20" si="3">3600000*C19</f>
        <v>7200000</v>
      </c>
      <c r="D20" s="90">
        <f t="shared" si="3"/>
        <v>3600000</v>
      </c>
      <c r="E20" s="90">
        <f t="shared" si="3"/>
        <v>10800000</v>
      </c>
      <c r="F20" s="90">
        <f t="shared" si="3"/>
        <v>0</v>
      </c>
      <c r="G20" s="90">
        <f t="shared" si="3"/>
        <v>0</v>
      </c>
      <c r="H20" s="90">
        <f t="shared" si="3"/>
        <v>7200000</v>
      </c>
      <c r="I20" s="90">
        <f t="shared" si="3"/>
        <v>0</v>
      </c>
      <c r="J20" s="90">
        <f t="shared" si="3"/>
        <v>0</v>
      </c>
      <c r="K20" s="90">
        <f t="shared" si="3"/>
        <v>0</v>
      </c>
      <c r="L20" s="90">
        <f t="shared" si="3"/>
        <v>0</v>
      </c>
      <c r="M20" s="90">
        <f t="shared" si="3"/>
        <v>0</v>
      </c>
      <c r="N20" s="90">
        <f t="shared" si="3"/>
        <v>0</v>
      </c>
      <c r="O20" s="399">
        <f t="shared" si="3"/>
        <v>0</v>
      </c>
      <c r="P20" s="15"/>
      <c r="Q20" s="20"/>
      <c r="R20" s="20"/>
      <c r="S20" s="20"/>
      <c r="T20" s="20"/>
      <c r="U20" s="20"/>
      <c r="V20" s="40"/>
      <c r="W20" s="41"/>
      <c r="X20" s="19"/>
      <c r="Y20" s="19"/>
      <c r="Z20" s="19"/>
      <c r="AA20" s="19"/>
      <c r="AB20" s="16"/>
      <c r="AC20" s="17"/>
    </row>
    <row r="21" spans="1:29">
      <c r="A21" s="97" t="s">
        <v>114</v>
      </c>
      <c r="B21" s="326">
        <v>9000000</v>
      </c>
      <c r="C21" s="90">
        <v>9000000</v>
      </c>
      <c r="D21" s="90">
        <v>9000000</v>
      </c>
      <c r="E21" s="90">
        <v>9000000</v>
      </c>
      <c r="F21" s="90">
        <v>9000000</v>
      </c>
      <c r="G21" s="90">
        <v>9000000</v>
      </c>
      <c r="H21" s="90">
        <v>9000000</v>
      </c>
      <c r="I21" s="90">
        <v>9000000</v>
      </c>
      <c r="J21" s="90">
        <v>9000000</v>
      </c>
      <c r="K21" s="90">
        <v>9000000</v>
      </c>
      <c r="L21" s="90">
        <v>9000000</v>
      </c>
      <c r="M21" s="90">
        <v>9000000</v>
      </c>
      <c r="N21" s="90">
        <v>9000000</v>
      </c>
      <c r="O21" s="399">
        <v>9000000</v>
      </c>
      <c r="P21" s="15"/>
      <c r="Q21" s="20"/>
      <c r="R21" s="20"/>
      <c r="S21" s="20"/>
      <c r="T21" s="20"/>
      <c r="U21" s="20"/>
      <c r="V21" s="50"/>
      <c r="W21" s="44"/>
      <c r="X21" s="44"/>
      <c r="Y21" s="44"/>
      <c r="Z21" s="44"/>
      <c r="AA21" s="44"/>
      <c r="AB21" s="44"/>
      <c r="AC21" s="51"/>
    </row>
    <row r="22" spans="1:29" ht="15.6">
      <c r="A22" s="413" t="s">
        <v>53</v>
      </c>
      <c r="B22" s="64"/>
      <c r="C22" s="65"/>
      <c r="D22" s="65"/>
      <c r="E22" s="66"/>
      <c r="F22" s="65"/>
      <c r="G22" s="65"/>
      <c r="H22" s="21"/>
      <c r="I22" s="65"/>
      <c r="J22" s="65"/>
      <c r="K22" s="66"/>
      <c r="L22" s="66"/>
      <c r="M22" s="66"/>
      <c r="N22" s="66"/>
      <c r="O22" s="382"/>
      <c r="P22" s="382"/>
      <c r="Q22" s="66"/>
      <c r="R22" s="66"/>
      <c r="S22" s="66"/>
      <c r="T22" s="66"/>
      <c r="U22" s="66"/>
      <c r="V22" s="118" t="s">
        <v>57</v>
      </c>
      <c r="W22" s="119" t="s">
        <v>67</v>
      </c>
      <c r="X22" s="119" t="s">
        <v>69</v>
      </c>
      <c r="Y22" s="119" t="s">
        <v>70</v>
      </c>
      <c r="Z22" s="119" t="s">
        <v>56</v>
      </c>
      <c r="AA22" s="119" t="s">
        <v>54</v>
      </c>
      <c r="AB22" s="119" t="s">
        <v>58</v>
      </c>
      <c r="AC22" s="120" t="s">
        <v>59</v>
      </c>
    </row>
    <row r="23" spans="1:29">
      <c r="A23" s="414" t="s">
        <v>55</v>
      </c>
      <c r="B23" s="64"/>
      <c r="C23" s="65"/>
      <c r="D23" s="65"/>
      <c r="E23" s="66"/>
      <c r="F23" s="65"/>
      <c r="G23" s="65"/>
      <c r="H23" s="21"/>
      <c r="I23" s="65"/>
      <c r="J23" s="65"/>
      <c r="K23" s="66"/>
      <c r="L23" s="66"/>
      <c r="M23" s="66"/>
      <c r="N23" s="66"/>
      <c r="O23" s="382"/>
      <c r="P23" s="382"/>
      <c r="Q23" s="66"/>
      <c r="R23" s="66"/>
      <c r="S23" s="66"/>
      <c r="T23" s="66"/>
      <c r="U23" s="66"/>
      <c r="V23" s="356" t="s">
        <v>2</v>
      </c>
      <c r="W23" s="357">
        <v>91999901</v>
      </c>
      <c r="X23" s="358" t="s">
        <v>507</v>
      </c>
      <c r="Y23" s="358" t="s">
        <v>508</v>
      </c>
      <c r="Z23" s="359" t="s">
        <v>509</v>
      </c>
      <c r="AA23" s="360">
        <v>8000000</v>
      </c>
      <c r="AB23" s="358"/>
      <c r="AC23" s="361"/>
    </row>
    <row r="24" spans="1:29">
      <c r="A24" s="445" t="s">
        <v>479</v>
      </c>
      <c r="B24" s="332">
        <f t="shared" ref="B24:O24" si="4">IF(OR(B18="A",B18="B"),IF(B11&lt;&gt;"C",ROUND(B134*B84,0),0),IF(B11&lt;&gt;"C",ROUND(B148*$B$4,0),0))</f>
        <v>5000000</v>
      </c>
      <c r="C24" s="332">
        <f t="shared" si="4"/>
        <v>4500000</v>
      </c>
      <c r="D24" s="332">
        <f t="shared" si="4"/>
        <v>7000000</v>
      </c>
      <c r="E24" s="332">
        <f t="shared" si="4"/>
        <v>9000000</v>
      </c>
      <c r="F24" s="332">
        <f t="shared" si="4"/>
        <v>14000000</v>
      </c>
      <c r="G24" s="332">
        <f t="shared" si="4"/>
        <v>0</v>
      </c>
      <c r="H24" s="332">
        <f t="shared" si="4"/>
        <v>109063500</v>
      </c>
      <c r="I24" s="332">
        <f t="shared" si="4"/>
        <v>85858500</v>
      </c>
      <c r="J24" s="332">
        <f t="shared" si="4"/>
        <v>50000000</v>
      </c>
      <c r="K24" s="332">
        <f t="shared" si="4"/>
        <v>8000000</v>
      </c>
      <c r="L24" s="332">
        <f t="shared" si="4"/>
        <v>90000000</v>
      </c>
      <c r="M24" s="332">
        <f t="shared" si="4"/>
        <v>5000000</v>
      </c>
      <c r="N24" s="332">
        <f t="shared" si="4"/>
        <v>6500000</v>
      </c>
      <c r="O24" s="332">
        <f t="shared" si="4"/>
        <v>0</v>
      </c>
      <c r="P24" s="355">
        <f t="shared" ref="P24:P27" si="5">SUM(B24:O24)</f>
        <v>393922000</v>
      </c>
      <c r="Q24" s="90" t="s">
        <v>525</v>
      </c>
      <c r="R24" s="90" t="s">
        <v>525</v>
      </c>
      <c r="S24" s="90" t="s">
        <v>525</v>
      </c>
      <c r="T24" s="90" t="s">
        <v>525</v>
      </c>
      <c r="U24" s="90" t="s">
        <v>525</v>
      </c>
      <c r="V24" s="356" t="s">
        <v>2</v>
      </c>
      <c r="W24" s="357">
        <v>91999902</v>
      </c>
      <c r="X24" s="358" t="s">
        <v>507</v>
      </c>
      <c r="Y24" s="358" t="s">
        <v>508</v>
      </c>
      <c r="Z24" s="359" t="s">
        <v>509</v>
      </c>
      <c r="AA24" s="360">
        <v>8000000</v>
      </c>
      <c r="AB24" s="358"/>
      <c r="AC24" s="361"/>
    </row>
    <row r="25" spans="1:29">
      <c r="A25" s="451" t="s">
        <v>496</v>
      </c>
      <c r="B25" s="332">
        <f t="shared" ref="B25:O25" si="6">IF(OR(B18="A",B18="B"),ROUND(B136*B84,0),ROUND(B136*B84*$B$4,0))</f>
        <v>500000</v>
      </c>
      <c r="C25" s="332">
        <f t="shared" si="6"/>
        <v>450000</v>
      </c>
      <c r="D25" s="332">
        <f t="shared" si="6"/>
        <v>700000</v>
      </c>
      <c r="E25" s="332">
        <f t="shared" si="6"/>
        <v>0</v>
      </c>
      <c r="F25" s="332">
        <f t="shared" si="6"/>
        <v>0</v>
      </c>
      <c r="G25" s="332">
        <f t="shared" si="6"/>
        <v>0</v>
      </c>
      <c r="H25" s="332">
        <f t="shared" si="6"/>
        <v>11602500</v>
      </c>
      <c r="I25" s="332">
        <f t="shared" si="6"/>
        <v>0</v>
      </c>
      <c r="J25" s="332">
        <f t="shared" si="6"/>
        <v>5000000</v>
      </c>
      <c r="K25" s="332">
        <f t="shared" si="6"/>
        <v>800000</v>
      </c>
      <c r="L25" s="332">
        <f t="shared" si="6"/>
        <v>0</v>
      </c>
      <c r="M25" s="332">
        <f t="shared" si="6"/>
        <v>1000000</v>
      </c>
      <c r="N25" s="332">
        <f t="shared" si="6"/>
        <v>1000000</v>
      </c>
      <c r="O25" s="400">
        <f t="shared" si="6"/>
        <v>0</v>
      </c>
      <c r="P25" s="355">
        <f t="shared" si="5"/>
        <v>21052500</v>
      </c>
      <c r="Q25" s="379" t="s">
        <v>525</v>
      </c>
      <c r="R25" s="379" t="s">
        <v>525</v>
      </c>
      <c r="S25" s="379" t="s">
        <v>525</v>
      </c>
      <c r="T25" s="379" t="s">
        <v>525</v>
      </c>
      <c r="U25" s="90" t="s">
        <v>525</v>
      </c>
      <c r="V25" s="356" t="s">
        <v>2</v>
      </c>
      <c r="W25" s="357">
        <v>91999904</v>
      </c>
      <c r="X25" s="358" t="s">
        <v>511</v>
      </c>
      <c r="Y25" s="358" t="s">
        <v>508</v>
      </c>
      <c r="Z25" s="359" t="s">
        <v>509</v>
      </c>
      <c r="AA25" s="360">
        <v>8000000</v>
      </c>
      <c r="AB25" s="358"/>
      <c r="AC25" s="361"/>
    </row>
    <row r="26" spans="1:29">
      <c r="A26" s="451" t="s">
        <v>569</v>
      </c>
      <c r="B26" s="332">
        <f t="shared" ref="B26:O26" si="7">IF(OR(B18="A",B18="B"),ROUND(B137*B84,0),ROUND(B137*B84*$B$4,0))</f>
        <v>1000000</v>
      </c>
      <c r="C26" s="332">
        <f t="shared" si="7"/>
        <v>900000</v>
      </c>
      <c r="D26" s="332">
        <f t="shared" si="7"/>
        <v>1400000</v>
      </c>
      <c r="E26" s="332">
        <f t="shared" si="7"/>
        <v>0</v>
      </c>
      <c r="F26" s="332">
        <f t="shared" si="7"/>
        <v>0</v>
      </c>
      <c r="G26" s="332">
        <f t="shared" si="7"/>
        <v>0</v>
      </c>
      <c r="H26" s="332">
        <f t="shared" si="7"/>
        <v>23205000</v>
      </c>
      <c r="I26" s="332">
        <f t="shared" si="7"/>
        <v>0</v>
      </c>
      <c r="J26" s="332">
        <f t="shared" si="7"/>
        <v>10000000</v>
      </c>
      <c r="K26" s="332">
        <f t="shared" si="7"/>
        <v>1600000</v>
      </c>
      <c r="L26" s="332">
        <f t="shared" si="7"/>
        <v>0</v>
      </c>
      <c r="M26" s="332">
        <f t="shared" si="7"/>
        <v>1500000</v>
      </c>
      <c r="N26" s="332">
        <f t="shared" si="7"/>
        <v>1500000</v>
      </c>
      <c r="O26" s="400">
        <f t="shared" si="7"/>
        <v>0</v>
      </c>
      <c r="P26" s="355">
        <f t="shared" si="5"/>
        <v>41105000</v>
      </c>
      <c r="Q26" s="379" t="s">
        <v>525</v>
      </c>
      <c r="R26" s="379" t="s">
        <v>525</v>
      </c>
      <c r="S26" s="379" t="s">
        <v>525</v>
      </c>
      <c r="T26" s="379" t="s">
        <v>525</v>
      </c>
      <c r="U26" s="90" t="s">
        <v>525</v>
      </c>
      <c r="V26" s="356" t="s">
        <v>2</v>
      </c>
      <c r="W26" s="357">
        <v>91999905</v>
      </c>
      <c r="X26" s="358" t="s">
        <v>507</v>
      </c>
      <c r="Y26" s="358" t="s">
        <v>508</v>
      </c>
      <c r="Z26" s="359" t="s">
        <v>509</v>
      </c>
      <c r="AA26" s="360">
        <v>8000000</v>
      </c>
      <c r="AB26" s="358"/>
      <c r="AC26" s="361"/>
    </row>
    <row r="27" spans="1:29">
      <c r="A27" s="412" t="s">
        <v>427</v>
      </c>
      <c r="B27" s="331"/>
      <c r="C27" s="332"/>
      <c r="D27" s="332"/>
      <c r="E27" s="340"/>
      <c r="F27" s="332"/>
      <c r="G27" s="332">
        <f>ROUND(G135*B4,0)*AC72+ROUND(G135*B4,0)*AC73</f>
        <v>23205000</v>
      </c>
      <c r="H27" s="332"/>
      <c r="I27" s="332"/>
      <c r="J27" s="332"/>
      <c r="K27" s="340"/>
      <c r="L27" s="340"/>
      <c r="M27" s="340"/>
      <c r="N27" s="340"/>
      <c r="O27" s="401">
        <f>ROUND(O135*AC74,0)+ROUND(O135*AC75,0)</f>
        <v>4000000</v>
      </c>
      <c r="P27" s="355">
        <f t="shared" si="5"/>
        <v>27205000</v>
      </c>
      <c r="Q27" s="379" t="s">
        <v>525</v>
      </c>
      <c r="R27" s="379" t="s">
        <v>525</v>
      </c>
      <c r="S27" s="379"/>
      <c r="T27" s="379"/>
      <c r="U27" s="379"/>
      <c r="V27" s="356" t="s">
        <v>2</v>
      </c>
      <c r="W27" s="357">
        <v>91999906</v>
      </c>
      <c r="X27" s="358" t="s">
        <v>507</v>
      </c>
      <c r="Y27" s="358" t="s">
        <v>508</v>
      </c>
      <c r="Z27" s="359" t="s">
        <v>509</v>
      </c>
      <c r="AA27" s="360">
        <v>8000000</v>
      </c>
      <c r="AB27" s="358"/>
      <c r="AC27" s="361"/>
    </row>
    <row r="28" spans="1:29">
      <c r="A28" s="445"/>
      <c r="B28" s="332"/>
      <c r="C28" s="332"/>
      <c r="D28" s="332"/>
      <c r="E28" s="332"/>
      <c r="F28" s="332"/>
      <c r="G28" s="332"/>
      <c r="H28" s="332"/>
      <c r="I28" s="332"/>
      <c r="J28" s="332"/>
      <c r="K28" s="332"/>
      <c r="L28" s="332"/>
      <c r="M28" s="332"/>
      <c r="N28" s="332"/>
      <c r="O28" s="400"/>
      <c r="P28" s="355"/>
      <c r="Q28" s="90"/>
      <c r="R28" s="90"/>
      <c r="S28" s="90"/>
      <c r="T28" s="90"/>
      <c r="U28" s="90"/>
      <c r="V28" s="356" t="s">
        <v>2</v>
      </c>
      <c r="W28" s="357">
        <v>91999901</v>
      </c>
      <c r="X28" s="358" t="s">
        <v>507</v>
      </c>
      <c r="Y28" s="358" t="s">
        <v>508</v>
      </c>
      <c r="Z28" s="359" t="s">
        <v>537</v>
      </c>
      <c r="AA28" s="360">
        <v>7000000</v>
      </c>
      <c r="AB28" s="358"/>
      <c r="AC28" s="361"/>
    </row>
    <row r="29" spans="1:29">
      <c r="A29" s="416" t="s">
        <v>582</v>
      </c>
      <c r="B29" s="331"/>
      <c r="C29" s="332"/>
      <c r="D29" s="332"/>
      <c r="E29" s="340"/>
      <c r="F29" s="332"/>
      <c r="G29" s="332"/>
      <c r="H29" s="332"/>
      <c r="I29" s="332"/>
      <c r="J29" s="332"/>
      <c r="K29" s="340"/>
      <c r="L29" s="340"/>
      <c r="M29" s="340"/>
      <c r="N29" s="340"/>
      <c r="O29" s="401"/>
      <c r="P29" s="355"/>
      <c r="Q29" s="380"/>
      <c r="R29" s="380"/>
      <c r="S29" s="380"/>
      <c r="T29" s="380"/>
      <c r="U29" s="380"/>
      <c r="V29" s="356" t="s">
        <v>2</v>
      </c>
      <c r="W29" s="357">
        <v>91999902</v>
      </c>
      <c r="X29" s="358" t="s">
        <v>507</v>
      </c>
      <c r="Y29" s="358" t="s">
        <v>508</v>
      </c>
      <c r="Z29" s="359" t="s">
        <v>537</v>
      </c>
      <c r="AA29" s="360">
        <v>7000000</v>
      </c>
      <c r="AB29" s="358"/>
      <c r="AC29" s="361"/>
    </row>
    <row r="30" spans="1:29">
      <c r="A30" s="451" t="s">
        <v>890</v>
      </c>
      <c r="B30" s="332">
        <v>0</v>
      </c>
      <c r="C30" s="332"/>
      <c r="D30" s="332"/>
      <c r="E30" s="332">
        <v>0</v>
      </c>
      <c r="F30" s="332"/>
      <c r="G30" s="332"/>
      <c r="H30" s="332"/>
      <c r="I30" s="368">
        <f>AA40*B4</f>
        <v>3480750</v>
      </c>
      <c r="J30" s="368"/>
      <c r="K30" s="368">
        <f>AA41</f>
        <v>4000000</v>
      </c>
      <c r="L30" s="332"/>
      <c r="M30" s="332"/>
      <c r="N30" s="332"/>
      <c r="O30" s="400"/>
      <c r="P30" s="355">
        <f t="shared" ref="P30" si="8">SUM(B30:O30)-J30</f>
        <v>7480750</v>
      </c>
      <c r="Q30" s="379" t="s">
        <v>525</v>
      </c>
      <c r="R30" s="379"/>
      <c r="S30" s="379"/>
      <c r="T30" s="379"/>
      <c r="U30" s="379"/>
      <c r="V30" s="356" t="s">
        <v>2</v>
      </c>
      <c r="W30" s="357">
        <v>91999904</v>
      </c>
      <c r="X30" s="358" t="s">
        <v>511</v>
      </c>
      <c r="Y30" s="358" t="s">
        <v>508</v>
      </c>
      <c r="Z30" s="359" t="s">
        <v>537</v>
      </c>
      <c r="AA30" s="360">
        <v>7000000</v>
      </c>
      <c r="AB30" s="358"/>
      <c r="AC30" s="361"/>
    </row>
    <row r="31" spans="1:29">
      <c r="A31" s="451"/>
      <c r="B31" s="332"/>
      <c r="C31" s="332"/>
      <c r="D31" s="332"/>
      <c r="E31" s="332"/>
      <c r="F31" s="332"/>
      <c r="G31" s="332"/>
      <c r="H31" s="332"/>
      <c r="I31" s="368"/>
      <c r="J31" s="368"/>
      <c r="K31" s="368"/>
      <c r="L31" s="332"/>
      <c r="M31" s="332"/>
      <c r="N31" s="332"/>
      <c r="O31" s="400"/>
      <c r="P31" s="355"/>
      <c r="Q31" s="379"/>
      <c r="R31" s="379"/>
      <c r="S31" s="379"/>
      <c r="T31" s="379"/>
      <c r="U31" s="379"/>
      <c r="V31" s="356" t="s">
        <v>2</v>
      </c>
      <c r="W31" s="357">
        <v>91999905</v>
      </c>
      <c r="X31" s="358" t="s">
        <v>507</v>
      </c>
      <c r="Y31" s="358" t="s">
        <v>508</v>
      </c>
      <c r="Z31" s="359" t="s">
        <v>537</v>
      </c>
      <c r="AA31" s="360">
        <v>7000000</v>
      </c>
      <c r="AB31" s="358"/>
      <c r="AC31" s="361"/>
    </row>
    <row r="32" spans="1:29">
      <c r="A32" s="528" t="s">
        <v>894</v>
      </c>
      <c r="B32" s="332"/>
      <c r="C32" s="332"/>
      <c r="D32" s="332"/>
      <c r="E32" s="340"/>
      <c r="F32" s="332"/>
      <c r="G32" s="332"/>
      <c r="H32" s="332"/>
      <c r="I32" s="332"/>
      <c r="J32" s="332"/>
      <c r="K32" s="340"/>
      <c r="L32" s="340"/>
      <c r="M32" s="340"/>
      <c r="N32" s="340"/>
      <c r="O32" s="401"/>
      <c r="P32" s="355"/>
      <c r="Q32" s="380"/>
      <c r="R32" s="379"/>
      <c r="S32" s="380"/>
      <c r="T32" s="380"/>
      <c r="U32" s="380"/>
      <c r="V32" s="356" t="s">
        <v>2</v>
      </c>
      <c r="W32" s="357">
        <v>91999906</v>
      </c>
      <c r="X32" s="358" t="s">
        <v>507</v>
      </c>
      <c r="Y32" s="358" t="s">
        <v>508</v>
      </c>
      <c r="Z32" s="359" t="s">
        <v>537</v>
      </c>
      <c r="AA32" s="360">
        <v>7000000</v>
      </c>
      <c r="AB32" s="358"/>
      <c r="AC32" s="361"/>
    </row>
    <row r="33" spans="1:29">
      <c r="A33" s="445" t="s">
        <v>895</v>
      </c>
      <c r="B33" s="332">
        <f>MIN((SUM(B24:B26)+SUM(B34:B37)+B109)*15%,B30)</f>
        <v>0</v>
      </c>
      <c r="C33" s="332"/>
      <c r="D33" s="332"/>
      <c r="E33" s="332">
        <f>MIN((SUM(E24:E26)+SUM(E34:E37)+E109)*15%,E30)</f>
        <v>0</v>
      </c>
      <c r="F33" s="332"/>
      <c r="G33" s="332"/>
      <c r="H33" s="332"/>
      <c r="I33" s="332">
        <f>MIN((SUM(I24:I26)+SUM(I34:I37)+I109)*15%,I30)</f>
        <v>3480750</v>
      </c>
      <c r="J33" s="332"/>
      <c r="K33" s="332">
        <f>MIN((SUM(K24:K26)+SUM(K34:K37)+K109)*15%,K30)</f>
        <v>4000000</v>
      </c>
      <c r="L33" s="340"/>
      <c r="M33" s="340"/>
      <c r="N33" s="340"/>
      <c r="O33" s="401"/>
      <c r="P33" s="346">
        <f>SUM(B33:O33)</f>
        <v>7480750</v>
      </c>
      <c r="Q33" s="379"/>
      <c r="R33" s="379" t="s">
        <v>597</v>
      </c>
      <c r="S33" s="379"/>
      <c r="T33" s="379"/>
      <c r="U33" s="379"/>
      <c r="V33" s="356" t="s">
        <v>2</v>
      </c>
      <c r="W33" s="357">
        <v>91999907</v>
      </c>
      <c r="X33" s="358" t="s">
        <v>603</v>
      </c>
      <c r="Y33" s="358" t="s">
        <v>508</v>
      </c>
      <c r="Z33" s="359">
        <v>7065</v>
      </c>
      <c r="AA33" s="360">
        <v>100</v>
      </c>
      <c r="AB33" s="447" t="s">
        <v>542</v>
      </c>
      <c r="AC33" s="448"/>
    </row>
    <row r="34" spans="1:29">
      <c r="A34" s="445" t="s">
        <v>896</v>
      </c>
      <c r="B34" s="332">
        <f>AA52</f>
        <v>5000000</v>
      </c>
      <c r="C34" s="332"/>
      <c r="D34" s="332"/>
      <c r="E34" s="438">
        <f>AA53</f>
        <v>5000000</v>
      </c>
      <c r="F34" s="332"/>
      <c r="I34" s="332">
        <f>AA54</f>
        <v>5000000</v>
      </c>
      <c r="K34" s="332">
        <f>AA55</f>
        <v>5000000</v>
      </c>
      <c r="L34" s="340"/>
      <c r="M34" s="340"/>
      <c r="N34" s="340"/>
      <c r="O34" s="401"/>
      <c r="P34" s="346">
        <f>SUM(B34:O34)</f>
        <v>20000000</v>
      </c>
      <c r="Q34" s="379"/>
      <c r="R34" s="379" t="s">
        <v>597</v>
      </c>
      <c r="S34" s="379"/>
      <c r="T34" s="379"/>
      <c r="U34" s="379"/>
      <c r="V34" s="356" t="s">
        <v>2</v>
      </c>
      <c r="W34" s="357">
        <v>91999908</v>
      </c>
      <c r="X34" s="358" t="s">
        <v>507</v>
      </c>
      <c r="Y34" s="358" t="s">
        <v>508</v>
      </c>
      <c r="Z34" s="359">
        <v>7065</v>
      </c>
      <c r="AA34" s="360">
        <v>100</v>
      </c>
      <c r="AB34" s="447" t="s">
        <v>542</v>
      </c>
      <c r="AC34" s="448"/>
    </row>
    <row r="35" spans="1:29">
      <c r="A35" s="445" t="s">
        <v>897</v>
      </c>
      <c r="B35" s="332">
        <f>AA56</f>
        <v>6000000</v>
      </c>
      <c r="C35" s="332"/>
      <c r="D35" s="332"/>
      <c r="E35" s="438">
        <f>AA57</f>
        <v>6000000</v>
      </c>
      <c r="F35" s="332"/>
      <c r="I35" s="332">
        <f>AA58</f>
        <v>6000000</v>
      </c>
      <c r="K35" s="332">
        <f>AA59</f>
        <v>6000000</v>
      </c>
      <c r="L35" s="340"/>
      <c r="M35" s="340"/>
      <c r="N35" s="340"/>
      <c r="O35" s="401"/>
      <c r="P35" s="346">
        <f>SUM(B35:O35)</f>
        <v>24000000</v>
      </c>
      <c r="Q35" s="379"/>
      <c r="R35" s="379" t="s">
        <v>597</v>
      </c>
      <c r="S35" s="379"/>
      <c r="T35" s="379"/>
      <c r="U35" s="379"/>
      <c r="V35" s="356" t="s">
        <v>2</v>
      </c>
      <c r="W35" s="357">
        <v>91999907</v>
      </c>
      <c r="X35" s="358" t="s">
        <v>603</v>
      </c>
      <c r="Y35" s="358" t="s">
        <v>508</v>
      </c>
      <c r="Z35" s="359">
        <v>7070</v>
      </c>
      <c r="AA35" s="360">
        <v>200</v>
      </c>
      <c r="AB35" s="447" t="s">
        <v>542</v>
      </c>
      <c r="AC35" s="448"/>
    </row>
    <row r="36" spans="1:29">
      <c r="A36" s="445" t="s">
        <v>898</v>
      </c>
      <c r="B36" s="332">
        <f>AA60</f>
        <v>7000000</v>
      </c>
      <c r="C36" s="332"/>
      <c r="D36" s="332"/>
      <c r="E36" s="438">
        <f>AA61</f>
        <v>7000000</v>
      </c>
      <c r="F36" s="332"/>
      <c r="I36" s="332">
        <f>AA62</f>
        <v>7000000</v>
      </c>
      <c r="K36" s="332">
        <f>AA63</f>
        <v>7000000</v>
      </c>
      <c r="L36" s="340"/>
      <c r="M36" s="340"/>
      <c r="N36" s="340"/>
      <c r="O36" s="401"/>
      <c r="P36" s="346">
        <f>SUM(B36:O36)</f>
        <v>28000000</v>
      </c>
      <c r="Q36" s="379"/>
      <c r="R36" s="379" t="s">
        <v>597</v>
      </c>
      <c r="S36" s="379"/>
      <c r="T36" s="379"/>
      <c r="U36" s="379"/>
      <c r="V36" s="356" t="s">
        <v>2</v>
      </c>
      <c r="W36" s="357">
        <v>91999908</v>
      </c>
      <c r="X36" s="358" t="s">
        <v>507</v>
      </c>
      <c r="Y36" s="358" t="s">
        <v>508</v>
      </c>
      <c r="Z36" s="359">
        <v>7070</v>
      </c>
      <c r="AA36" s="360">
        <v>200</v>
      </c>
      <c r="AB36" s="447" t="s">
        <v>542</v>
      </c>
      <c r="AC36" s="448"/>
    </row>
    <row r="37" spans="1:29">
      <c r="A37" s="445" t="s">
        <v>899</v>
      </c>
      <c r="B37" s="332">
        <f>AA64</f>
        <v>8000000</v>
      </c>
      <c r="C37" s="332"/>
      <c r="D37" s="332"/>
      <c r="E37" s="438">
        <f>AA65</f>
        <v>8000000</v>
      </c>
      <c r="F37" s="332"/>
      <c r="I37" s="332">
        <f>AA66</f>
        <v>8000000</v>
      </c>
      <c r="K37" s="332">
        <f>AA67</f>
        <v>8000000</v>
      </c>
      <c r="L37" s="340"/>
      <c r="M37" s="340"/>
      <c r="N37" s="340"/>
      <c r="O37" s="401"/>
      <c r="P37" s="346">
        <f>SUM(B37:O37)</f>
        <v>32000000</v>
      </c>
      <c r="Q37" s="379"/>
      <c r="R37" s="379"/>
      <c r="S37" s="379"/>
      <c r="T37" s="379"/>
      <c r="U37" s="379"/>
      <c r="V37" s="356" t="s">
        <v>2</v>
      </c>
      <c r="W37" s="357">
        <v>91999901</v>
      </c>
      <c r="X37" s="358" t="s">
        <v>507</v>
      </c>
      <c r="Y37" s="358" t="s">
        <v>508</v>
      </c>
      <c r="Z37" s="359">
        <v>9140</v>
      </c>
      <c r="AA37" s="360"/>
      <c r="AB37" s="750">
        <v>7.5999999999999998E-2</v>
      </c>
      <c r="AC37" s="448"/>
    </row>
    <row r="38" spans="1:29">
      <c r="A38" s="412"/>
      <c r="B38" s="331"/>
      <c r="C38" s="332"/>
      <c r="D38" s="332"/>
      <c r="E38" s="340"/>
      <c r="F38" s="368"/>
      <c r="G38" s="368"/>
      <c r="H38" s="368"/>
      <c r="I38" s="368"/>
      <c r="J38" s="368"/>
      <c r="K38" s="340"/>
      <c r="L38" s="340"/>
      <c r="M38" s="340"/>
      <c r="N38" s="340"/>
      <c r="O38" s="401"/>
      <c r="P38" s="355"/>
      <c r="Q38" s="379"/>
      <c r="R38" s="379"/>
      <c r="S38" s="379"/>
      <c r="T38" s="379"/>
      <c r="U38" s="379"/>
      <c r="V38" s="356" t="s">
        <v>2</v>
      </c>
      <c r="W38" s="357">
        <v>91999907</v>
      </c>
      <c r="X38" s="358" t="s">
        <v>507</v>
      </c>
      <c r="Y38" s="358" t="s">
        <v>508</v>
      </c>
      <c r="Z38" s="359">
        <v>9140</v>
      </c>
      <c r="AA38" s="360"/>
      <c r="AB38" s="750">
        <v>0.56000000000000005</v>
      </c>
      <c r="AC38" s="448"/>
    </row>
    <row r="39" spans="1:29">
      <c r="A39" s="416" t="s">
        <v>572</v>
      </c>
      <c r="B39" s="331"/>
      <c r="C39" s="332"/>
      <c r="D39" s="332"/>
      <c r="E39" s="340"/>
      <c r="F39" s="332"/>
      <c r="G39" s="332"/>
      <c r="H39" s="332"/>
      <c r="I39" s="332"/>
      <c r="J39" s="332"/>
      <c r="K39" s="340"/>
      <c r="L39" s="340"/>
      <c r="M39" s="340"/>
      <c r="N39" s="340"/>
      <c r="O39" s="401"/>
      <c r="P39" s="355"/>
      <c r="Q39" s="380"/>
      <c r="R39" s="379"/>
      <c r="S39" s="380"/>
      <c r="T39" s="380"/>
      <c r="U39" s="380"/>
      <c r="V39" s="356" t="s">
        <v>773</v>
      </c>
      <c r="W39" s="357">
        <v>91999905</v>
      </c>
      <c r="X39" s="358" t="s">
        <v>507</v>
      </c>
      <c r="Y39" s="358" t="s">
        <v>508</v>
      </c>
      <c r="Z39" s="359" t="s">
        <v>775</v>
      </c>
      <c r="AA39" s="360"/>
      <c r="AB39" s="447">
        <v>1</v>
      </c>
      <c r="AC39" s="448"/>
    </row>
    <row r="40" spans="1:29">
      <c r="A40" s="445" t="s">
        <v>512</v>
      </c>
      <c r="B40" s="332">
        <f t="shared" ref="B40:H40" si="9">IF(OR(B18="A",B18="B"),B87,ROUND(B87*B13%,0))</f>
        <v>657534</v>
      </c>
      <c r="C40" s="332">
        <f t="shared" si="9"/>
        <v>657534</v>
      </c>
      <c r="D40" s="332">
        <f t="shared" si="9"/>
        <v>0</v>
      </c>
      <c r="E40" s="332">
        <f t="shared" si="9"/>
        <v>657534</v>
      </c>
      <c r="F40" s="332">
        <f t="shared" si="9"/>
        <v>657534</v>
      </c>
      <c r="G40" s="332">
        <f t="shared" si="9"/>
        <v>0</v>
      </c>
      <c r="H40" s="332">
        <f t="shared" si="9"/>
        <v>328767</v>
      </c>
      <c r="I40" s="332"/>
      <c r="J40" s="332"/>
      <c r="K40" s="340"/>
      <c r="L40" s="340"/>
      <c r="M40" s="340"/>
      <c r="N40" s="340"/>
      <c r="O40" s="401"/>
      <c r="P40" s="346">
        <f>SUM(B40:O40)</f>
        <v>2958903</v>
      </c>
      <c r="Q40" s="379"/>
      <c r="R40" s="379" t="s">
        <v>597</v>
      </c>
      <c r="S40" s="379"/>
      <c r="T40" s="379"/>
      <c r="U40" s="379"/>
      <c r="V40" s="49" t="s">
        <v>2</v>
      </c>
      <c r="W40" s="39">
        <v>91999908</v>
      </c>
      <c r="X40" s="7" t="s">
        <v>603</v>
      </c>
      <c r="Y40" s="80" t="s">
        <v>901</v>
      </c>
      <c r="Z40" s="60">
        <v>3601</v>
      </c>
      <c r="AA40" s="332">
        <v>150</v>
      </c>
      <c r="AB40" s="7" t="s">
        <v>604</v>
      </c>
      <c r="AC40" s="12"/>
    </row>
    <row r="41" spans="1:29">
      <c r="A41" s="445" t="s">
        <v>534</v>
      </c>
      <c r="B41" s="332">
        <f t="shared" ref="B41:G41" si="10">IF(OR(B18="A",B18="B"),ROUND(2369796/365*B16,0),ROUND(ROUND(2466.55*$B$4,0)/365*B16,0))*B19*IF(B17&lt;3,0,IF(B17&lt;6,50%,100%))</f>
        <v>194778</v>
      </c>
      <c r="C41" s="332">
        <f t="shared" si="10"/>
        <v>389556</v>
      </c>
      <c r="D41" s="332">
        <f t="shared" si="10"/>
        <v>0</v>
      </c>
      <c r="E41" s="332">
        <f t="shared" si="10"/>
        <v>292167</v>
      </c>
      <c r="F41" s="332">
        <f t="shared" si="10"/>
        <v>0</v>
      </c>
      <c r="G41" s="332">
        <f t="shared" si="10"/>
        <v>0</v>
      </c>
      <c r="H41" s="332">
        <f>ROUND(ROUND(2466.55*$B$4,0)/365*H16,0)*IF(H17&lt;3,0,IF(H17&lt;6,50%,100%))+ROUND(ROUND(863.29*$B$4,0)/365*H16,0)*IF(H17&lt;3,0,IF(H17&lt;6,50%,100%))</f>
        <v>6350872</v>
      </c>
      <c r="I41" s="332">
        <f t="shared" ref="I41:O41" si="11">IF(OR(I18="A",I18="B"),ROUND(2369796/365*I16,0),ROUND(ROUND(2466.55*$B$4,0)/365*I16,0))*I19*IF(I17&lt;3,0,IF(I17&lt;6,50%,100%))</f>
        <v>0</v>
      </c>
      <c r="J41" s="332">
        <f t="shared" si="11"/>
        <v>0</v>
      </c>
      <c r="K41" s="332">
        <f t="shared" si="11"/>
        <v>0</v>
      </c>
      <c r="L41" s="332">
        <f t="shared" si="11"/>
        <v>0</v>
      </c>
      <c r="M41" s="332">
        <f t="shared" si="11"/>
        <v>0</v>
      </c>
      <c r="N41" s="332">
        <f t="shared" si="11"/>
        <v>0</v>
      </c>
      <c r="O41" s="400">
        <f t="shared" si="11"/>
        <v>0</v>
      </c>
      <c r="P41" s="346">
        <f>SUM(B41:O41)</f>
        <v>7227373</v>
      </c>
      <c r="Q41" s="379"/>
      <c r="R41" s="379" t="s">
        <v>597</v>
      </c>
      <c r="S41" s="379"/>
      <c r="T41" s="379"/>
      <c r="U41" s="379"/>
      <c r="V41" s="49" t="s">
        <v>2</v>
      </c>
      <c r="W41" s="39">
        <v>91999910</v>
      </c>
      <c r="X41" s="7" t="s">
        <v>507</v>
      </c>
      <c r="Y41" s="80" t="s">
        <v>901</v>
      </c>
      <c r="Z41" s="60">
        <v>3601</v>
      </c>
      <c r="AA41" s="332">
        <v>4000000</v>
      </c>
      <c r="AB41" s="7"/>
      <c r="AC41" s="12"/>
    </row>
    <row r="42" spans="1:29">
      <c r="A42" s="412"/>
      <c r="B42" s="331"/>
      <c r="C42" s="332"/>
      <c r="D42" s="332"/>
      <c r="E42" s="340"/>
      <c r="F42" s="368"/>
      <c r="G42" s="368"/>
      <c r="H42" s="368"/>
      <c r="I42" s="368"/>
      <c r="J42" s="368"/>
      <c r="K42" s="340"/>
      <c r="L42" s="340"/>
      <c r="M42" s="340"/>
      <c r="N42" s="340"/>
      <c r="O42" s="401"/>
      <c r="P42" s="355"/>
      <c r="Q42" s="379"/>
      <c r="R42" s="379"/>
      <c r="S42" s="379"/>
      <c r="T42" s="379"/>
      <c r="U42" s="379"/>
      <c r="V42" s="32"/>
      <c r="W42" s="44"/>
      <c r="X42" s="13"/>
      <c r="Y42" s="13"/>
      <c r="Z42" s="13"/>
      <c r="AA42" s="13"/>
      <c r="AB42" s="13"/>
      <c r="AC42" s="18"/>
    </row>
    <row r="43" spans="1:29">
      <c r="A43" s="450" t="s">
        <v>61</v>
      </c>
      <c r="B43" s="365">
        <f t="shared" ref="B43:O43" si="12">SUM(B24:B28)</f>
        <v>6500000</v>
      </c>
      <c r="C43" s="366">
        <f t="shared" si="12"/>
        <v>5850000</v>
      </c>
      <c r="D43" s="366">
        <f t="shared" si="12"/>
        <v>9100000</v>
      </c>
      <c r="E43" s="366">
        <f t="shared" si="12"/>
        <v>9000000</v>
      </c>
      <c r="F43" s="366">
        <f t="shared" si="12"/>
        <v>14000000</v>
      </c>
      <c r="G43" s="366">
        <f t="shared" si="12"/>
        <v>23205000</v>
      </c>
      <c r="H43" s="366">
        <f t="shared" si="12"/>
        <v>143871000</v>
      </c>
      <c r="I43" s="366">
        <f t="shared" si="12"/>
        <v>85858500</v>
      </c>
      <c r="J43" s="366">
        <f t="shared" si="12"/>
        <v>65000000</v>
      </c>
      <c r="K43" s="366">
        <f t="shared" si="12"/>
        <v>10400000</v>
      </c>
      <c r="L43" s="366">
        <f t="shared" si="12"/>
        <v>90000000</v>
      </c>
      <c r="M43" s="366">
        <f t="shared" si="12"/>
        <v>7500000</v>
      </c>
      <c r="N43" s="495">
        <f t="shared" si="12"/>
        <v>9000000</v>
      </c>
      <c r="O43" s="496">
        <f t="shared" si="12"/>
        <v>4000000</v>
      </c>
      <c r="P43" s="355">
        <f>SUM(B43:O43)</f>
        <v>483284500</v>
      </c>
      <c r="Q43" s="379"/>
      <c r="R43" s="379"/>
      <c r="S43" s="379"/>
      <c r="T43" s="379"/>
      <c r="U43" s="379"/>
      <c r="V43" s="32"/>
      <c r="W43" s="44"/>
      <c r="X43" s="13"/>
      <c r="Y43" s="13"/>
      <c r="Z43" s="13"/>
      <c r="AA43" s="13"/>
      <c r="AB43" s="13"/>
      <c r="AC43" s="18"/>
    </row>
    <row r="44" spans="1:29">
      <c r="A44" s="418"/>
      <c r="B44" s="331"/>
      <c r="C44" s="332"/>
      <c r="D44" s="332"/>
      <c r="E44" s="340"/>
      <c r="F44" s="332"/>
      <c r="G44" s="332"/>
      <c r="H44" s="332"/>
      <c r="I44" s="332"/>
      <c r="J44" s="332"/>
      <c r="K44" s="340"/>
      <c r="L44" s="340"/>
      <c r="M44" s="340"/>
      <c r="N44" s="340"/>
      <c r="O44" s="401"/>
      <c r="P44" s="355"/>
      <c r="Q44" s="379"/>
      <c r="R44" s="379"/>
      <c r="S44" s="379"/>
      <c r="T44" s="379"/>
      <c r="U44" s="379"/>
      <c r="V44" s="32"/>
      <c r="W44" s="44"/>
      <c r="X44" s="13"/>
      <c r="Y44" s="13"/>
      <c r="Z44" s="13"/>
      <c r="AA44" s="13"/>
      <c r="AB44" s="13"/>
      <c r="AC44" s="18"/>
    </row>
    <row r="45" spans="1:29" ht="15.6">
      <c r="A45" s="419" t="s">
        <v>60</v>
      </c>
      <c r="B45" s="369"/>
      <c r="C45" s="362"/>
      <c r="D45" s="362"/>
      <c r="E45" s="370"/>
      <c r="F45" s="362"/>
      <c r="G45" s="362"/>
      <c r="H45" s="362"/>
      <c r="I45" s="362"/>
      <c r="J45" s="362"/>
      <c r="K45" s="370"/>
      <c r="L45" s="370"/>
      <c r="M45" s="370"/>
      <c r="N45" s="370"/>
      <c r="O45" s="383"/>
      <c r="P45" s="355"/>
      <c r="Q45" s="379"/>
      <c r="R45" s="379"/>
      <c r="S45" s="379"/>
      <c r="T45" s="379"/>
      <c r="U45" s="379"/>
      <c r="V45" s="32"/>
      <c r="W45" s="44"/>
      <c r="X45" s="13"/>
      <c r="Y45" s="13"/>
      <c r="Z45" s="13"/>
      <c r="AA45" s="13"/>
      <c r="AB45" s="13"/>
      <c r="AC45" s="18"/>
    </row>
    <row r="46" spans="1:29">
      <c r="A46" s="414" t="s">
        <v>55</v>
      </c>
      <c r="B46" s="369"/>
      <c r="C46" s="362"/>
      <c r="D46" s="362"/>
      <c r="E46" s="370"/>
      <c r="F46" s="362"/>
      <c r="G46" s="362"/>
      <c r="H46" s="362"/>
      <c r="I46" s="362"/>
      <c r="J46" s="362"/>
      <c r="K46" s="370"/>
      <c r="L46" s="370"/>
      <c r="M46" s="370"/>
      <c r="N46" s="370"/>
      <c r="O46" s="383"/>
      <c r="P46" s="355"/>
      <c r="Q46" s="379"/>
      <c r="R46" s="379"/>
      <c r="S46" s="379"/>
      <c r="T46" s="379"/>
      <c r="U46" s="379"/>
      <c r="V46" s="42"/>
      <c r="W46" s="43"/>
      <c r="X46" s="733" t="s">
        <v>90</v>
      </c>
      <c r="Y46" s="733"/>
      <c r="Z46" s="733"/>
      <c r="AA46" s="733"/>
      <c r="AB46" s="13"/>
      <c r="AC46" s="18"/>
    </row>
    <row r="47" spans="1:29">
      <c r="A47" s="424" t="s">
        <v>576</v>
      </c>
      <c r="B47" s="332">
        <f>ROUND(MIN(B94,29800000)*'New Hire'!C56,0)</f>
        <v>520000</v>
      </c>
      <c r="C47" s="332">
        <f>ROUND(MIN(C94,29800000)*'New Hire'!D56,0)</f>
        <v>468000</v>
      </c>
      <c r="D47" s="332">
        <f>ROUND(MIN(D94,29800000)*'New Hire'!E56,0)</f>
        <v>0</v>
      </c>
      <c r="E47" s="332">
        <f>ROUND(MIN(E94,29800000)*'New Hire'!F56,0)</f>
        <v>720000</v>
      </c>
      <c r="F47" s="332">
        <f>ROUND(MIN(F94,29800000)*'New Hire'!G56,0)</f>
        <v>0</v>
      </c>
      <c r="G47" s="332">
        <f>ROUND(MIN(G94,29800000)*'New Hire'!H56,0)</f>
        <v>0</v>
      </c>
      <c r="H47" s="332">
        <f>ROUND(MIN(H94,29800000)*'New Hire'!I56,0)</f>
        <v>0</v>
      </c>
      <c r="I47" s="332">
        <f>ROUND(MIN(I94,29800000)*'New Hire'!J56,0)</f>
        <v>0</v>
      </c>
      <c r="J47" s="332">
        <f>ROUND(MIN(J94,29800000)*'New Hire'!K56,0)</f>
        <v>2384000</v>
      </c>
      <c r="K47" s="332">
        <f>ROUND(MIN(K94,29800000)*'New Hire'!L56,0)</f>
        <v>0</v>
      </c>
      <c r="L47" s="332">
        <f>ROUND(MIN(L94,29800000)*'New Hire'!M56,0)</f>
        <v>2384000</v>
      </c>
      <c r="M47" s="332">
        <f>ROUND(MIN(M94,29800000)*'New Hire'!N56,0)</f>
        <v>0</v>
      </c>
      <c r="N47" s="332">
        <f>ROUND(MIN(N94,29800000)*'New Hire'!O56,0)</f>
        <v>0</v>
      </c>
      <c r="O47" s="400">
        <f>ROUND(MIN(O94,29800000)*'New Hire'!P56,0)</f>
        <v>0</v>
      </c>
      <c r="P47" s="355">
        <f>SUM(B47:O47)</f>
        <v>6476000</v>
      </c>
      <c r="Q47" s="379"/>
      <c r="R47" s="379"/>
      <c r="S47" s="379"/>
      <c r="T47" s="379"/>
      <c r="U47" s="379"/>
      <c r="V47" s="24" t="s">
        <v>57</v>
      </c>
      <c r="W47" s="37" t="s">
        <v>67</v>
      </c>
      <c r="X47" s="37" t="s">
        <v>69</v>
      </c>
      <c r="Y47" s="37" t="s">
        <v>70</v>
      </c>
      <c r="Z47" s="37" t="s">
        <v>56</v>
      </c>
      <c r="AA47" s="37" t="s">
        <v>71</v>
      </c>
      <c r="AB47" s="37" t="s">
        <v>58</v>
      </c>
      <c r="AC47" s="38" t="s">
        <v>59</v>
      </c>
    </row>
    <row r="48" spans="1:29">
      <c r="A48" s="445" t="s">
        <v>577</v>
      </c>
      <c r="B48" s="332">
        <f>ROUND(MIN(B94,83600000)*'New Hire'!C59,0)</f>
        <v>65000</v>
      </c>
      <c r="C48" s="332">
        <f>ROUND(MIN(C94,83600000)*'New Hire'!D59,0)</f>
        <v>58500</v>
      </c>
      <c r="D48" s="332">
        <f>ROUND(MIN(D94,83600000)*'New Hire'!E59,0)</f>
        <v>91000</v>
      </c>
      <c r="E48" s="332">
        <f>ROUND(MIN(E94,83600000)*'New Hire'!F59,0)</f>
        <v>90000</v>
      </c>
      <c r="F48" s="332">
        <f>ROUND(MIN(F94,83600000)*'New Hire'!G59,0)</f>
        <v>0</v>
      </c>
      <c r="G48" s="332">
        <f>ROUND(MIN(G94,83600000)*'New Hire'!H59,0)</f>
        <v>0</v>
      </c>
      <c r="H48" s="332">
        <f>ROUND(MIN(H94,83600000)*'New Hire'!I59,0)</f>
        <v>0</v>
      </c>
      <c r="I48" s="332">
        <f>ROUND(MIN(I94,83600000)*'New Hire'!J59,0)</f>
        <v>0</v>
      </c>
      <c r="J48" s="332">
        <f>ROUND(MIN(J94,83600000)*'New Hire'!K59,0)</f>
        <v>650000</v>
      </c>
      <c r="K48" s="332">
        <f>ROUND(MIN(K94,83600000)*'New Hire'!L59,0)</f>
        <v>0</v>
      </c>
      <c r="L48" s="332">
        <f>ROUND(MIN(L94,83600000)*'New Hire'!M59,0)</f>
        <v>836000</v>
      </c>
      <c r="M48" s="332">
        <f>ROUND(MIN(M94,83600000)*'New Hire'!N59,0)</f>
        <v>0</v>
      </c>
      <c r="N48" s="332">
        <f>ROUND(MIN(N94,83600000)*'New Hire'!O59,0)</f>
        <v>0</v>
      </c>
      <c r="O48" s="400">
        <f>ROUND(MIN(O94,83600000)*'New Hire'!P59,0)</f>
        <v>0</v>
      </c>
      <c r="P48" s="355">
        <f>SUM(B48:O48)</f>
        <v>1790500</v>
      </c>
      <c r="Q48" s="379"/>
      <c r="R48" s="379"/>
      <c r="S48" s="379"/>
      <c r="T48" s="379"/>
      <c r="U48" s="379"/>
      <c r="V48" s="49" t="s">
        <v>0</v>
      </c>
      <c r="W48" s="39">
        <v>91999901</v>
      </c>
      <c r="X48" s="80" t="s">
        <v>907</v>
      </c>
      <c r="Y48" s="80" t="s">
        <v>907</v>
      </c>
      <c r="Z48" s="60">
        <v>3602</v>
      </c>
      <c r="AA48" s="332"/>
      <c r="AB48" s="80">
        <v>1</v>
      </c>
      <c r="AC48" s="11"/>
    </row>
    <row r="49" spans="1:29">
      <c r="A49" s="445" t="s">
        <v>578</v>
      </c>
      <c r="B49" s="332">
        <f>ROUND(MIN(B94,29800000)*'New Hire'!C62,0)</f>
        <v>97500</v>
      </c>
      <c r="C49" s="332">
        <f>ROUND(MIN(C94,29800000)*'New Hire'!D62,0)</f>
        <v>87750</v>
      </c>
      <c r="D49" s="332">
        <f>ROUND(MIN(D94,29800000)*'New Hire'!E62,0)</f>
        <v>136500</v>
      </c>
      <c r="E49" s="332">
        <f>ROUND(MIN(E94,29800000)*'New Hire'!F62,0)</f>
        <v>135000</v>
      </c>
      <c r="F49" s="332">
        <f>ROUND(MIN(F94,29800000)*'New Hire'!G62,0)</f>
        <v>0</v>
      </c>
      <c r="G49" s="332">
        <f>ROUND(MIN(G94,29800000)*'New Hire'!H62,0)</f>
        <v>0</v>
      </c>
      <c r="H49" s="332">
        <f>ROUND(MIN(H94,29800000)*'New Hire'!I62,0)</f>
        <v>447000</v>
      </c>
      <c r="I49" s="332">
        <f>ROUND(MIN(I94,29800000)*'New Hire'!J62,0)</f>
        <v>447000</v>
      </c>
      <c r="J49" s="332">
        <f>ROUND(MIN(J94,29800000)*'New Hire'!K62,0)</f>
        <v>447000</v>
      </c>
      <c r="K49" s="332">
        <f>ROUND(MIN(K94,29800000)*'New Hire'!L62,0)</f>
        <v>0</v>
      </c>
      <c r="L49" s="332">
        <f>ROUND(MIN(L94,29800000)*'New Hire'!M62,0)</f>
        <v>447000</v>
      </c>
      <c r="M49" s="332">
        <f>ROUND(MIN(M94,29800000)*'New Hire'!N62,0)</f>
        <v>0</v>
      </c>
      <c r="N49" s="332">
        <f>ROUND(MIN(N94,29800000)*'New Hire'!O62,0)</f>
        <v>0</v>
      </c>
      <c r="O49" s="400">
        <f>ROUND(MIN(O94,29800000)*'New Hire'!P62,0)</f>
        <v>0</v>
      </c>
      <c r="P49" s="355">
        <f>SUM(B49:O49)</f>
        <v>2244750</v>
      </c>
      <c r="Q49" s="379"/>
      <c r="R49" s="379"/>
      <c r="S49" s="379"/>
      <c r="T49" s="379"/>
      <c r="U49" s="379"/>
      <c r="V49" s="49" t="s">
        <v>0</v>
      </c>
      <c r="W49" s="39">
        <v>91999904</v>
      </c>
      <c r="X49" s="80" t="s">
        <v>907</v>
      </c>
      <c r="Y49" s="80" t="s">
        <v>907</v>
      </c>
      <c r="Z49" s="60">
        <v>3602</v>
      </c>
      <c r="AA49" s="332"/>
      <c r="AB49" s="80">
        <v>1</v>
      </c>
      <c r="AC49" s="11"/>
    </row>
    <row r="50" spans="1:29">
      <c r="A50" s="445" t="s">
        <v>906</v>
      </c>
      <c r="B50" s="331">
        <f>B101</f>
        <v>0</v>
      </c>
      <c r="C50" s="332">
        <f>C101</f>
        <v>0</v>
      </c>
      <c r="D50" s="332">
        <f t="shared" ref="D50:O50" si="13">D101</f>
        <v>0</v>
      </c>
      <c r="E50" s="332">
        <f t="shared" si="13"/>
        <v>994970</v>
      </c>
      <c r="F50" s="332">
        <f t="shared" si="13"/>
        <v>1465753</v>
      </c>
      <c r="G50" s="332">
        <f t="shared" si="13"/>
        <v>1380750</v>
      </c>
      <c r="H50" s="332">
        <f t="shared" si="13"/>
        <v>30110128</v>
      </c>
      <c r="I50" s="332">
        <f t="shared" si="13"/>
        <v>17171700</v>
      </c>
      <c r="J50" s="332">
        <f t="shared" si="13"/>
        <v>9905700</v>
      </c>
      <c r="K50" s="332">
        <f t="shared" si="13"/>
        <v>70000</v>
      </c>
      <c r="L50" s="332">
        <f t="shared" si="13"/>
        <v>17349900</v>
      </c>
      <c r="M50" s="332">
        <f t="shared" si="13"/>
        <v>0</v>
      </c>
      <c r="N50" s="332">
        <f t="shared" si="13"/>
        <v>0</v>
      </c>
      <c r="O50" s="400">
        <f t="shared" si="13"/>
        <v>400000</v>
      </c>
      <c r="P50" s="355">
        <f>SUM(B50:O50)</f>
        <v>78848901</v>
      </c>
      <c r="Q50" s="379"/>
      <c r="R50" s="379"/>
      <c r="S50" s="379"/>
      <c r="T50" s="379"/>
      <c r="U50" s="379"/>
      <c r="V50" s="49" t="s">
        <v>0</v>
      </c>
      <c r="W50" s="39">
        <v>91999906</v>
      </c>
      <c r="X50" s="80" t="s">
        <v>907</v>
      </c>
      <c r="Y50" s="80" t="s">
        <v>907</v>
      </c>
      <c r="Z50" s="60">
        <v>3602</v>
      </c>
      <c r="AA50" s="332"/>
      <c r="AB50" s="80">
        <v>1</v>
      </c>
      <c r="AC50" s="11"/>
    </row>
    <row r="51" spans="1:29">
      <c r="A51" s="412" t="s">
        <v>1204</v>
      </c>
      <c r="B51" s="332">
        <f>'UAT3-Mar'!B67</f>
        <v>0</v>
      </c>
      <c r="C51" s="332">
        <f>'UAT3-Mar'!C67</f>
        <v>0</v>
      </c>
      <c r="D51" s="332">
        <f>'UAT3-Mar'!D67</f>
        <v>0</v>
      </c>
      <c r="E51" s="332">
        <f>'UAT3-Mar'!E67</f>
        <v>0</v>
      </c>
      <c r="F51" s="332">
        <f>'UAT3-Mar'!F67</f>
        <v>0</v>
      </c>
      <c r="G51" s="332">
        <f>'UAT3-Mar'!G67</f>
        <v>0</v>
      </c>
      <c r="H51" s="332">
        <f>'UAT3-Mar'!H67</f>
        <v>0</v>
      </c>
      <c r="I51" s="332">
        <f>'UAT3-Mar'!I67</f>
        <v>0</v>
      </c>
      <c r="J51" s="332">
        <f>'UAT3-Mar'!J67</f>
        <v>0</v>
      </c>
      <c r="K51" s="332">
        <f>'UAT3-Mar'!K67</f>
        <v>0</v>
      </c>
      <c r="L51" s="332">
        <f>'UAT3-Mar'!L67</f>
        <v>0</v>
      </c>
      <c r="M51" s="332">
        <f>'UAT3-Mar'!M67</f>
        <v>0</v>
      </c>
      <c r="N51" s="332">
        <f>'UAT3-Mar'!N67</f>
        <v>0</v>
      </c>
      <c r="O51" s="400">
        <f>'UAT3-Mar'!O67</f>
        <v>400000</v>
      </c>
      <c r="P51" s="355">
        <f t="shared" ref="P51" si="14">SUM(B51:O51)-J51</f>
        <v>400000</v>
      </c>
      <c r="Q51" s="379"/>
      <c r="R51" s="379"/>
      <c r="S51" s="379"/>
      <c r="T51" s="379"/>
      <c r="U51" s="379"/>
      <c r="V51" s="49" t="s">
        <v>0</v>
      </c>
      <c r="W51" s="39">
        <v>91999907</v>
      </c>
      <c r="X51" s="80" t="s">
        <v>907</v>
      </c>
      <c r="Y51" s="80" t="s">
        <v>907</v>
      </c>
      <c r="Z51" s="60">
        <v>3602</v>
      </c>
      <c r="AA51" s="332"/>
      <c r="AB51" s="80">
        <v>1</v>
      </c>
      <c r="AC51" s="11"/>
    </row>
    <row r="52" spans="1:29">
      <c r="A52" s="445" t="s">
        <v>514</v>
      </c>
      <c r="B52" s="332">
        <f t="shared" ref="B52:O52" si="15">B87-B40</f>
        <v>0</v>
      </c>
      <c r="C52" s="332">
        <f t="shared" si="15"/>
        <v>0</v>
      </c>
      <c r="D52" s="332">
        <f t="shared" si="15"/>
        <v>0</v>
      </c>
      <c r="E52" s="332">
        <f t="shared" si="15"/>
        <v>0</v>
      </c>
      <c r="F52" s="332">
        <f t="shared" si="15"/>
        <v>0</v>
      </c>
      <c r="G52" s="332">
        <f t="shared" si="15"/>
        <v>0</v>
      </c>
      <c r="H52" s="332">
        <f t="shared" si="15"/>
        <v>328767</v>
      </c>
      <c r="I52" s="332">
        <f t="shared" si="15"/>
        <v>0</v>
      </c>
      <c r="J52" s="332">
        <f t="shared" si="15"/>
        <v>0</v>
      </c>
      <c r="K52" s="332">
        <f t="shared" si="15"/>
        <v>0</v>
      </c>
      <c r="L52" s="332">
        <f t="shared" si="15"/>
        <v>0</v>
      </c>
      <c r="M52" s="332">
        <f t="shared" si="15"/>
        <v>0</v>
      </c>
      <c r="N52" s="332">
        <f t="shared" si="15"/>
        <v>0</v>
      </c>
      <c r="O52" s="400">
        <f t="shared" si="15"/>
        <v>0</v>
      </c>
      <c r="P52" s="355">
        <f>SUM(B52:O52)</f>
        <v>328767</v>
      </c>
      <c r="Q52" s="379"/>
      <c r="R52" s="379"/>
      <c r="S52" s="379"/>
      <c r="T52" s="379"/>
      <c r="U52" s="379"/>
      <c r="V52" s="49" t="s">
        <v>0</v>
      </c>
      <c r="W52" s="39">
        <v>91999901</v>
      </c>
      <c r="X52" s="80" t="s">
        <v>907</v>
      </c>
      <c r="Y52" s="80" t="s">
        <v>907</v>
      </c>
      <c r="Z52" s="60" t="s">
        <v>908</v>
      </c>
      <c r="AA52" s="332">
        <v>5000000</v>
      </c>
      <c r="AB52" s="80"/>
      <c r="AC52" s="11"/>
    </row>
    <row r="53" spans="1:29">
      <c r="A53" s="445" t="s">
        <v>535</v>
      </c>
      <c r="B53" s="332">
        <f>B41</f>
        <v>194778</v>
      </c>
      <c r="C53" s="332">
        <f t="shared" ref="C53:O53" si="16">C41</f>
        <v>389556</v>
      </c>
      <c r="D53" s="332">
        <f t="shared" si="16"/>
        <v>0</v>
      </c>
      <c r="E53" s="332">
        <f t="shared" si="16"/>
        <v>292167</v>
      </c>
      <c r="F53" s="332">
        <f t="shared" si="16"/>
        <v>0</v>
      </c>
      <c r="G53" s="332">
        <f t="shared" si="16"/>
        <v>0</v>
      </c>
      <c r="H53" s="332">
        <f t="shared" si="16"/>
        <v>6350872</v>
      </c>
      <c r="I53" s="332">
        <f t="shared" si="16"/>
        <v>0</v>
      </c>
      <c r="J53" s="332">
        <f t="shared" si="16"/>
        <v>0</v>
      </c>
      <c r="K53" s="332">
        <f t="shared" si="16"/>
        <v>0</v>
      </c>
      <c r="L53" s="332">
        <f t="shared" si="16"/>
        <v>0</v>
      </c>
      <c r="M53" s="332">
        <f t="shared" si="16"/>
        <v>0</v>
      </c>
      <c r="N53" s="332">
        <f t="shared" si="16"/>
        <v>0</v>
      </c>
      <c r="O53" s="400">
        <f t="shared" si="16"/>
        <v>0</v>
      </c>
      <c r="P53" s="346">
        <f>SUM(B53:O53)</f>
        <v>7227373</v>
      </c>
      <c r="Q53" s="379"/>
      <c r="R53" s="379"/>
      <c r="S53" s="379"/>
      <c r="T53" s="379"/>
      <c r="U53" s="379"/>
      <c r="V53" s="514" t="s">
        <v>0</v>
      </c>
      <c r="W53" s="518">
        <v>91999904</v>
      </c>
      <c r="X53" s="648" t="s">
        <v>1232</v>
      </c>
      <c r="Y53" s="648" t="s">
        <v>1232</v>
      </c>
      <c r="Z53" s="649" t="s">
        <v>908</v>
      </c>
      <c r="AA53" s="438">
        <v>5000000</v>
      </c>
      <c r="AB53" s="648"/>
      <c r="AC53" s="652"/>
    </row>
    <row r="54" spans="1:29">
      <c r="A54" s="445" t="s">
        <v>538</v>
      </c>
      <c r="B54" s="332">
        <f>B88</f>
        <v>0</v>
      </c>
      <c r="C54" s="332">
        <f t="shared" ref="C54:O54" si="17">C88</f>
        <v>0</v>
      </c>
      <c r="D54" s="332">
        <f t="shared" si="17"/>
        <v>0</v>
      </c>
      <c r="E54" s="332">
        <f t="shared" si="17"/>
        <v>0</v>
      </c>
      <c r="F54" s="332">
        <f t="shared" si="17"/>
        <v>0</v>
      </c>
      <c r="G54" s="332">
        <f t="shared" si="17"/>
        <v>0</v>
      </c>
      <c r="H54" s="332">
        <f t="shared" si="17"/>
        <v>575342</v>
      </c>
      <c r="I54" s="332">
        <f t="shared" si="17"/>
        <v>0</v>
      </c>
      <c r="J54" s="332">
        <f t="shared" si="17"/>
        <v>0</v>
      </c>
      <c r="K54" s="332">
        <f t="shared" si="17"/>
        <v>0</v>
      </c>
      <c r="L54" s="332">
        <f t="shared" si="17"/>
        <v>0</v>
      </c>
      <c r="M54" s="332">
        <f t="shared" si="17"/>
        <v>0</v>
      </c>
      <c r="N54" s="332">
        <f t="shared" si="17"/>
        <v>0</v>
      </c>
      <c r="O54" s="400">
        <f t="shared" si="17"/>
        <v>0</v>
      </c>
      <c r="P54" s="355">
        <f>SUM(B54:O54)</f>
        <v>575342</v>
      </c>
      <c r="Q54" s="379"/>
      <c r="R54" s="379"/>
      <c r="S54" s="347"/>
      <c r="T54" s="347"/>
      <c r="U54" s="347"/>
      <c r="V54" s="49" t="s">
        <v>0</v>
      </c>
      <c r="W54" s="39">
        <v>91999906</v>
      </c>
      <c r="X54" s="80" t="s">
        <v>907</v>
      </c>
      <c r="Y54" s="80" t="s">
        <v>907</v>
      </c>
      <c r="Z54" s="60" t="s">
        <v>908</v>
      </c>
      <c r="AA54" s="332">
        <v>5000000</v>
      </c>
      <c r="AB54" s="80"/>
      <c r="AC54" s="11"/>
    </row>
    <row r="55" spans="1:29">
      <c r="A55" s="445" t="s">
        <v>539</v>
      </c>
      <c r="B55" s="332">
        <f>IF(OR(B18="A",B18="B"),0,ROUND(ROUND(297.1*$B$4,0)/365*B16,0))*B19</f>
        <v>0</v>
      </c>
      <c r="C55" s="332">
        <f t="shared" ref="C55:G55" si="18">IF(OR(C18="A",C18="B"),0,ROUND(ROUND(297.1*$B$4,0)/365*C16,0))*C19</f>
        <v>0</v>
      </c>
      <c r="D55" s="332">
        <f t="shared" si="18"/>
        <v>0</v>
      </c>
      <c r="E55" s="332">
        <f t="shared" si="18"/>
        <v>0</v>
      </c>
      <c r="F55" s="332">
        <f t="shared" si="18"/>
        <v>0</v>
      </c>
      <c r="G55" s="332">
        <f t="shared" si="18"/>
        <v>0</v>
      </c>
      <c r="H55" s="332">
        <f>ROUND(ROUND(297.1*$B$4,0)/365*H16,0)+ROUND(ROUND(103.98*$B$4,0)/365*H16,0)</f>
        <v>764964</v>
      </c>
      <c r="I55" s="332">
        <f>IF(OR(I18="A",I18="B"),0,ROUND(ROUND(297.1*$B$4,0)/365*I16,0))*I19</f>
        <v>0</v>
      </c>
      <c r="J55" s="332">
        <f t="shared" ref="J55:O55" si="19">IF(OR(J18="A",J18="B"),0,ROUND(ROUND(297.1*$B$4,0)/365*J16,0))*J19</f>
        <v>0</v>
      </c>
      <c r="K55" s="332">
        <f t="shared" si="19"/>
        <v>0</v>
      </c>
      <c r="L55" s="332">
        <f t="shared" si="19"/>
        <v>0</v>
      </c>
      <c r="M55" s="332">
        <f t="shared" si="19"/>
        <v>0</v>
      </c>
      <c r="N55" s="332">
        <f t="shared" si="19"/>
        <v>0</v>
      </c>
      <c r="O55" s="332">
        <f t="shared" si="19"/>
        <v>0</v>
      </c>
      <c r="P55" s="346">
        <f>SUM(B55:O55)</f>
        <v>764964</v>
      </c>
      <c r="Q55" s="347"/>
      <c r="R55" s="347"/>
      <c r="S55" s="347"/>
      <c r="T55" s="347"/>
      <c r="U55" s="347"/>
      <c r="V55" s="49" t="s">
        <v>0</v>
      </c>
      <c r="W55" s="39">
        <v>91999907</v>
      </c>
      <c r="X55" s="80" t="s">
        <v>907</v>
      </c>
      <c r="Y55" s="80" t="s">
        <v>907</v>
      </c>
      <c r="Z55" s="60" t="s">
        <v>908</v>
      </c>
      <c r="AA55" s="332">
        <v>5000000</v>
      </c>
      <c r="AB55" s="80"/>
      <c r="AC55" s="11"/>
    </row>
    <row r="56" spans="1:29">
      <c r="A56" s="412"/>
      <c r="B56" s="371"/>
      <c r="C56" s="372"/>
      <c r="D56" s="372"/>
      <c r="E56" s="373"/>
      <c r="F56" s="372"/>
      <c r="G56" s="372"/>
      <c r="H56" s="372"/>
      <c r="I56" s="372"/>
      <c r="J56" s="372"/>
      <c r="K56" s="373"/>
      <c r="L56" s="373"/>
      <c r="M56" s="373"/>
      <c r="N56" s="373"/>
      <c r="O56" s="403"/>
      <c r="P56" s="355"/>
      <c r="Q56" s="379"/>
      <c r="R56" s="379"/>
      <c r="S56" s="379"/>
      <c r="T56" s="379"/>
      <c r="U56" s="379"/>
      <c r="V56" s="49" t="s">
        <v>0</v>
      </c>
      <c r="W56" s="39">
        <v>91999901</v>
      </c>
      <c r="X56" s="80" t="s">
        <v>907</v>
      </c>
      <c r="Y56" s="80" t="s">
        <v>907</v>
      </c>
      <c r="Z56" s="60" t="s">
        <v>909</v>
      </c>
      <c r="AA56" s="332">
        <v>6000000</v>
      </c>
      <c r="AB56" s="80"/>
      <c r="AC56" s="11"/>
    </row>
    <row r="57" spans="1:29">
      <c r="A57" s="420" t="s">
        <v>4</v>
      </c>
      <c r="B57" s="365">
        <f t="shared" ref="B57:O57" si="20">SUM(B47:B56)</f>
        <v>877278</v>
      </c>
      <c r="C57" s="366">
        <f t="shared" si="20"/>
        <v>1003806</v>
      </c>
      <c r="D57" s="366">
        <f t="shared" si="20"/>
        <v>227500</v>
      </c>
      <c r="E57" s="366">
        <f t="shared" si="20"/>
        <v>2232137</v>
      </c>
      <c r="F57" s="366">
        <f t="shared" si="20"/>
        <v>1465753</v>
      </c>
      <c r="G57" s="366">
        <f t="shared" si="20"/>
        <v>1380750</v>
      </c>
      <c r="H57" s="366">
        <f t="shared" si="20"/>
        <v>38577073</v>
      </c>
      <c r="I57" s="366">
        <f t="shared" si="20"/>
        <v>17618700</v>
      </c>
      <c r="J57" s="366">
        <f t="shared" si="20"/>
        <v>13386700</v>
      </c>
      <c r="K57" s="366">
        <f t="shared" si="20"/>
        <v>70000</v>
      </c>
      <c r="L57" s="366">
        <f t="shared" si="20"/>
        <v>21016900</v>
      </c>
      <c r="M57" s="366">
        <f t="shared" si="20"/>
        <v>0</v>
      </c>
      <c r="N57" s="495">
        <f t="shared" si="20"/>
        <v>0</v>
      </c>
      <c r="O57" s="638">
        <f t="shared" si="20"/>
        <v>800000</v>
      </c>
      <c r="P57" s="355">
        <f>SUM(B57:O57)</f>
        <v>98656597</v>
      </c>
      <c r="Q57" s="379"/>
      <c r="R57" s="379"/>
      <c r="S57" s="379"/>
      <c r="T57" s="379"/>
      <c r="U57" s="379"/>
      <c r="V57" s="514" t="s">
        <v>0</v>
      </c>
      <c r="W57" s="518">
        <v>91999904</v>
      </c>
      <c r="X57" s="648" t="s">
        <v>1232</v>
      </c>
      <c r="Y57" s="648" t="s">
        <v>1232</v>
      </c>
      <c r="Z57" s="649" t="s">
        <v>909</v>
      </c>
      <c r="AA57" s="438">
        <v>6000000</v>
      </c>
      <c r="AB57" s="648"/>
      <c r="AC57" s="652"/>
    </row>
    <row r="58" spans="1:29">
      <c r="A58" s="421"/>
      <c r="B58" s="331"/>
      <c r="C58" s="332"/>
      <c r="D58" s="332"/>
      <c r="E58" s="340"/>
      <c r="F58" s="332"/>
      <c r="G58" s="332"/>
      <c r="H58" s="332"/>
      <c r="I58" s="332"/>
      <c r="J58" s="332"/>
      <c r="K58" s="340"/>
      <c r="L58" s="340"/>
      <c r="M58" s="340"/>
      <c r="N58" s="340"/>
      <c r="O58" s="401"/>
      <c r="P58" s="355"/>
      <c r="Q58" s="379"/>
      <c r="R58" s="379"/>
      <c r="S58" s="379"/>
      <c r="T58" s="379"/>
      <c r="U58" s="379"/>
      <c r="V58" s="49" t="s">
        <v>0</v>
      </c>
      <c r="W58" s="39">
        <v>91999906</v>
      </c>
      <c r="X58" s="80" t="s">
        <v>907</v>
      </c>
      <c r="Y58" s="80" t="s">
        <v>907</v>
      </c>
      <c r="Z58" s="60" t="s">
        <v>909</v>
      </c>
      <c r="AA58" s="332">
        <v>6000000</v>
      </c>
      <c r="AB58" s="80"/>
      <c r="AC58" s="11"/>
    </row>
    <row r="59" spans="1:29" ht="14.4" thickBot="1">
      <c r="A59" s="417" t="s">
        <v>5</v>
      </c>
      <c r="B59" s="333">
        <f t="shared" ref="B59:O59" si="21">B43-B57</f>
        <v>5622722</v>
      </c>
      <c r="C59" s="334">
        <f t="shared" si="21"/>
        <v>4846194</v>
      </c>
      <c r="D59" s="334">
        <f t="shared" si="21"/>
        <v>8872500</v>
      </c>
      <c r="E59" s="334">
        <f t="shared" si="21"/>
        <v>6767863</v>
      </c>
      <c r="F59" s="334">
        <f t="shared" si="21"/>
        <v>12534247</v>
      </c>
      <c r="G59" s="334">
        <f t="shared" si="21"/>
        <v>21824250</v>
      </c>
      <c r="H59" s="334">
        <f t="shared" si="21"/>
        <v>105293927</v>
      </c>
      <c r="I59" s="334">
        <f t="shared" si="21"/>
        <v>68239800</v>
      </c>
      <c r="J59" s="334">
        <f t="shared" si="21"/>
        <v>51613300</v>
      </c>
      <c r="K59" s="334">
        <f t="shared" si="21"/>
        <v>10330000</v>
      </c>
      <c r="L59" s="334">
        <f t="shared" si="21"/>
        <v>68983100</v>
      </c>
      <c r="M59" s="334">
        <f t="shared" si="21"/>
        <v>7500000</v>
      </c>
      <c r="N59" s="334">
        <f t="shared" si="21"/>
        <v>9000000</v>
      </c>
      <c r="O59" s="404">
        <f t="shared" si="21"/>
        <v>3200000</v>
      </c>
      <c r="P59" s="355">
        <f>SUM(B59:O59)</f>
        <v>384627903</v>
      </c>
      <c r="Q59" s="379"/>
      <c r="R59" s="379"/>
      <c r="S59" s="379"/>
      <c r="T59" s="379"/>
      <c r="U59" s="379"/>
      <c r="V59" s="49" t="s">
        <v>0</v>
      </c>
      <c r="W59" s="39">
        <v>91999907</v>
      </c>
      <c r="X59" s="80" t="s">
        <v>907</v>
      </c>
      <c r="Y59" s="80" t="s">
        <v>907</v>
      </c>
      <c r="Z59" s="60" t="s">
        <v>909</v>
      </c>
      <c r="AA59" s="332">
        <v>6000000</v>
      </c>
      <c r="AB59" s="80"/>
      <c r="AC59" s="11"/>
    </row>
    <row r="60" spans="1:29" ht="14.4" thickTop="1">
      <c r="A60" s="422"/>
      <c r="B60" s="331"/>
      <c r="C60" s="332"/>
      <c r="D60" s="332"/>
      <c r="E60" s="340"/>
      <c r="F60" s="332"/>
      <c r="G60" s="332"/>
      <c r="H60" s="332"/>
      <c r="I60" s="332"/>
      <c r="J60" s="332"/>
      <c r="K60" s="340"/>
      <c r="L60" s="340"/>
      <c r="M60" s="340"/>
      <c r="N60" s="340"/>
      <c r="O60" s="401"/>
      <c r="P60" s="355"/>
      <c r="Q60" s="379"/>
      <c r="R60" s="379"/>
      <c r="S60" s="379"/>
      <c r="T60" s="379"/>
      <c r="U60" s="379"/>
      <c r="V60" s="49" t="s">
        <v>0</v>
      </c>
      <c r="W60" s="39">
        <v>91999901</v>
      </c>
      <c r="X60" s="80" t="s">
        <v>907</v>
      </c>
      <c r="Y60" s="80" t="s">
        <v>907</v>
      </c>
      <c r="Z60" s="60" t="s">
        <v>910</v>
      </c>
      <c r="AA60" s="332">
        <v>7000000</v>
      </c>
      <c r="AB60" s="80"/>
      <c r="AC60" s="11"/>
    </row>
    <row r="61" spans="1:29" ht="15.6">
      <c r="A61" s="411" t="s">
        <v>62</v>
      </c>
      <c r="B61" s="374"/>
      <c r="C61" s="405"/>
      <c r="D61" s="405"/>
      <c r="E61" s="370"/>
      <c r="F61" s="405"/>
      <c r="G61" s="405"/>
      <c r="H61" s="406"/>
      <c r="I61" s="405"/>
      <c r="J61" s="405"/>
      <c r="K61" s="370"/>
      <c r="L61" s="370"/>
      <c r="M61" s="370"/>
      <c r="N61" s="370"/>
      <c r="O61" s="383"/>
      <c r="P61" s="383"/>
      <c r="Q61" s="379"/>
      <c r="R61" s="379"/>
      <c r="S61" s="379"/>
      <c r="T61" s="379"/>
      <c r="U61" s="379"/>
      <c r="V61" s="514" t="s">
        <v>0</v>
      </c>
      <c r="W61" s="518">
        <v>91999904</v>
      </c>
      <c r="X61" s="648" t="s">
        <v>1232</v>
      </c>
      <c r="Y61" s="648" t="s">
        <v>1232</v>
      </c>
      <c r="Z61" s="649" t="s">
        <v>910</v>
      </c>
      <c r="AA61" s="438">
        <v>7000000</v>
      </c>
      <c r="AB61" s="648"/>
      <c r="AC61" s="652"/>
    </row>
    <row r="62" spans="1:29">
      <c r="A62" s="424" t="s">
        <v>573</v>
      </c>
      <c r="B62" s="332">
        <f>ROUND(MIN(B94,29800000)*'New Hire'!C57,0)</f>
        <v>1105000</v>
      </c>
      <c r="C62" s="332">
        <f>ROUND(MIN(C94,29800000)*'New Hire'!D57,0)</f>
        <v>1023750</v>
      </c>
      <c r="D62" s="332">
        <f>ROUND(MIN(D94,29800000)*'New Hire'!E57,0)</f>
        <v>45500</v>
      </c>
      <c r="E62" s="332">
        <f>ROUND(MIN(E94,29800000)*'New Hire'!F57,0)</f>
        <v>1530000</v>
      </c>
      <c r="F62" s="332">
        <f>ROUND(MIN(F94,29800000)*'New Hire'!G57,0)</f>
        <v>0</v>
      </c>
      <c r="G62" s="332">
        <f>ROUND(MIN(G94,29800000)*'New Hire'!H57,0)</f>
        <v>0</v>
      </c>
      <c r="H62" s="332">
        <f>ROUND(MIN(H94,29800000)*'New Hire'!I57,0)</f>
        <v>894000</v>
      </c>
      <c r="I62" s="332">
        <f>ROUND(MIN(I94,29800000)*'New Hire'!J57,0)</f>
        <v>149000</v>
      </c>
      <c r="J62" s="332">
        <f>ROUND(MIN(J94,29800000)*'New Hire'!K57,0)</f>
        <v>5066000</v>
      </c>
      <c r="K62" s="332">
        <f>ROUND(MIN(K94,29800000)*'New Hire'!L57,0)</f>
        <v>0</v>
      </c>
      <c r="L62" s="332">
        <f>ROUND(MIN(L94,29800000)*'New Hire'!M57,0)</f>
        <v>5066000</v>
      </c>
      <c r="M62" s="332">
        <f>ROUND(MIN(M94,29800000)*'New Hire'!N57,0)</f>
        <v>0</v>
      </c>
      <c r="N62" s="332">
        <f>ROUND(MIN(N94,29800000)*'New Hire'!O57,0)</f>
        <v>0</v>
      </c>
      <c r="O62" s="400">
        <f>ROUND(MIN(O94,29800000)*'New Hire'!P57,0)</f>
        <v>0</v>
      </c>
      <c r="P62" s="346">
        <f>SUM(B62:O62)</f>
        <v>14879250</v>
      </c>
      <c r="Q62" s="379"/>
      <c r="R62" s="379"/>
      <c r="S62" s="379"/>
      <c r="T62" s="379"/>
      <c r="U62" s="379"/>
      <c r="V62" s="49" t="s">
        <v>0</v>
      </c>
      <c r="W62" s="39">
        <v>91999906</v>
      </c>
      <c r="X62" s="80" t="s">
        <v>907</v>
      </c>
      <c r="Y62" s="80" t="s">
        <v>907</v>
      </c>
      <c r="Z62" s="60" t="s">
        <v>910</v>
      </c>
      <c r="AA62" s="332">
        <v>7000000</v>
      </c>
      <c r="AB62" s="80"/>
      <c r="AC62" s="11"/>
    </row>
    <row r="63" spans="1:29">
      <c r="A63" s="445" t="s">
        <v>574</v>
      </c>
      <c r="B63" s="332">
        <f>ROUND(MIN(B94,83600000)*'New Hire'!C60,0)</f>
        <v>65000</v>
      </c>
      <c r="C63" s="332">
        <f>ROUND(MIN(C94,83600000)*'New Hire'!D60,0)</f>
        <v>58500</v>
      </c>
      <c r="D63" s="332">
        <f>ROUND(MIN(D94,83600000)*'New Hire'!E60,0)</f>
        <v>91000</v>
      </c>
      <c r="E63" s="332">
        <f>ROUND(MIN(E94,83600000)*'New Hire'!F60,0)</f>
        <v>90000</v>
      </c>
      <c r="F63" s="332">
        <f>ROUND(MIN(F94,83600000)*'New Hire'!G60,0)</f>
        <v>0</v>
      </c>
      <c r="G63" s="332">
        <f>ROUND(MIN(G94,83600000)*'New Hire'!H60,0)</f>
        <v>0</v>
      </c>
      <c r="H63" s="332">
        <f>ROUND(MIN(H94,83600000)*'New Hire'!I60,0)</f>
        <v>0</v>
      </c>
      <c r="I63" s="332">
        <f>ROUND(MIN(I94,83600000)*'New Hire'!J60,0)</f>
        <v>0</v>
      </c>
      <c r="J63" s="332">
        <f>ROUND(MIN(J94,83600000)*'New Hire'!K60,0)</f>
        <v>650000</v>
      </c>
      <c r="K63" s="332">
        <f>ROUND(MIN(K94,83600000)*'New Hire'!L60,0)</f>
        <v>0</v>
      </c>
      <c r="L63" s="332">
        <f>ROUND(MIN(L94,83600000)*'New Hire'!M60,0)</f>
        <v>836000</v>
      </c>
      <c r="M63" s="332">
        <f>ROUND(MIN(M94,83600000)*'New Hire'!N60,0)</f>
        <v>0</v>
      </c>
      <c r="N63" s="332">
        <f>ROUND(MIN(N94,83600000)*'New Hire'!O60,0)</f>
        <v>0</v>
      </c>
      <c r="O63" s="400">
        <f>ROUND(MIN(O94,83600000)*'New Hire'!P60,0)</f>
        <v>0</v>
      </c>
      <c r="P63" s="346">
        <f>SUM(B63:O63)</f>
        <v>1790500</v>
      </c>
      <c r="Q63" s="379"/>
      <c r="R63" s="379"/>
      <c r="S63" s="379"/>
      <c r="T63" s="379"/>
      <c r="U63" s="379"/>
      <c r="V63" s="49" t="s">
        <v>0</v>
      </c>
      <c r="W63" s="39">
        <v>91999907</v>
      </c>
      <c r="X63" s="80" t="s">
        <v>907</v>
      </c>
      <c r="Y63" s="80" t="s">
        <v>907</v>
      </c>
      <c r="Z63" s="60" t="s">
        <v>910</v>
      </c>
      <c r="AA63" s="332">
        <v>7000000</v>
      </c>
      <c r="AB63" s="80"/>
      <c r="AC63" s="11"/>
    </row>
    <row r="64" spans="1:29">
      <c r="A64" s="445" t="s">
        <v>575</v>
      </c>
      <c r="B64" s="332">
        <f>ROUND(MIN(B94,29800000)*'New Hire'!C63,0)</f>
        <v>195000</v>
      </c>
      <c r="C64" s="332">
        <f>ROUND(MIN(C94,29800000)*'New Hire'!D63,0)</f>
        <v>175500</v>
      </c>
      <c r="D64" s="332">
        <f>ROUND(MIN(D94,29800000)*'New Hire'!E63,0)</f>
        <v>273000</v>
      </c>
      <c r="E64" s="332">
        <f>ROUND(MIN(E94,29800000)*'New Hire'!F63,0)</f>
        <v>270000</v>
      </c>
      <c r="F64" s="332">
        <f>ROUND(MIN(F94,29800000)*'New Hire'!G63,0)</f>
        <v>0</v>
      </c>
      <c r="G64" s="332">
        <f>ROUND(MIN(G94,29800000)*'New Hire'!H63,0)</f>
        <v>0</v>
      </c>
      <c r="H64" s="332">
        <f>ROUND(MIN(H94,29800000)*'New Hire'!I63,0)</f>
        <v>894000</v>
      </c>
      <c r="I64" s="332">
        <f>ROUND(MIN(I94,29800000)*'New Hire'!J63,0)</f>
        <v>894000</v>
      </c>
      <c r="J64" s="332">
        <f>ROUND(MIN(J94,29800000)*'New Hire'!K63,0)</f>
        <v>894000</v>
      </c>
      <c r="K64" s="332">
        <f>ROUND(MIN(K94,29800000)*'New Hire'!L63,0)</f>
        <v>0</v>
      </c>
      <c r="L64" s="332">
        <f>ROUND(MIN(L94,29800000)*'New Hire'!M63,0)</f>
        <v>894000</v>
      </c>
      <c r="M64" s="332">
        <f>ROUND(MIN(M94,29800000)*'New Hire'!N63,0)</f>
        <v>0</v>
      </c>
      <c r="N64" s="332">
        <f>ROUND(MIN(N94,29800000)*'New Hire'!O63,0)</f>
        <v>0</v>
      </c>
      <c r="O64" s="400">
        <f>ROUND(MIN(O94,29800000)*'New Hire'!P63,0)</f>
        <v>0</v>
      </c>
      <c r="P64" s="346">
        <f>SUM(B64:O64)</f>
        <v>4489500</v>
      </c>
      <c r="Q64" s="347"/>
      <c r="R64" s="347"/>
      <c r="S64" s="347"/>
      <c r="T64" s="347"/>
      <c r="U64" s="347"/>
      <c r="V64" s="49" t="s">
        <v>0</v>
      </c>
      <c r="W64" s="39">
        <v>91999901</v>
      </c>
      <c r="X64" s="80" t="s">
        <v>907</v>
      </c>
      <c r="Y64" s="80" t="s">
        <v>907</v>
      </c>
      <c r="Z64" s="60" t="s">
        <v>911</v>
      </c>
      <c r="AA64" s="332">
        <v>8000000</v>
      </c>
      <c r="AB64" s="80"/>
      <c r="AC64" s="11"/>
    </row>
    <row r="65" spans="1:29">
      <c r="A65" s="412" t="s">
        <v>1131</v>
      </c>
      <c r="B65" s="332">
        <f t="shared" ref="B65:O65" si="22">ROUND(MIN(B94,29800000)*2%,0)</f>
        <v>130000</v>
      </c>
      <c r="C65" s="332">
        <f t="shared" si="22"/>
        <v>117000</v>
      </c>
      <c r="D65" s="332">
        <f t="shared" si="22"/>
        <v>182000</v>
      </c>
      <c r="E65" s="332">
        <f t="shared" si="22"/>
        <v>180000</v>
      </c>
      <c r="F65" s="332">
        <f t="shared" si="22"/>
        <v>280000</v>
      </c>
      <c r="G65" s="332">
        <f t="shared" si="22"/>
        <v>0</v>
      </c>
      <c r="H65" s="332">
        <f t="shared" si="22"/>
        <v>596000</v>
      </c>
      <c r="I65" s="332">
        <f t="shared" si="22"/>
        <v>596000</v>
      </c>
      <c r="J65" s="332">
        <f t="shared" si="22"/>
        <v>596000</v>
      </c>
      <c r="K65" s="332">
        <f t="shared" si="22"/>
        <v>208000</v>
      </c>
      <c r="L65" s="332">
        <f t="shared" si="22"/>
        <v>596000</v>
      </c>
      <c r="M65" s="332">
        <f t="shared" si="22"/>
        <v>150000</v>
      </c>
      <c r="N65" s="332">
        <f t="shared" si="22"/>
        <v>180000</v>
      </c>
      <c r="O65" s="400">
        <f t="shared" si="22"/>
        <v>0</v>
      </c>
      <c r="P65" s="355">
        <f>SUM(B65:O65)-J65</f>
        <v>3215000</v>
      </c>
      <c r="Q65" s="379"/>
      <c r="R65" s="379"/>
      <c r="S65" s="379"/>
      <c r="T65" s="379"/>
      <c r="U65" s="379"/>
      <c r="V65" s="514" t="s">
        <v>0</v>
      </c>
      <c r="W65" s="518">
        <v>91999904</v>
      </c>
      <c r="X65" s="648" t="s">
        <v>1232</v>
      </c>
      <c r="Y65" s="648" t="s">
        <v>1232</v>
      </c>
      <c r="Z65" s="649" t="s">
        <v>911</v>
      </c>
      <c r="AA65" s="438">
        <v>8000000</v>
      </c>
      <c r="AB65" s="648"/>
      <c r="AC65" s="652"/>
    </row>
    <row r="66" spans="1:29">
      <c r="A66" s="412"/>
      <c r="B66" s="331"/>
      <c r="C66" s="332"/>
      <c r="D66" s="332"/>
      <c r="E66" s="340"/>
      <c r="F66" s="332"/>
      <c r="G66" s="332"/>
      <c r="H66" s="332"/>
      <c r="I66" s="332"/>
      <c r="J66" s="332"/>
      <c r="K66" s="340"/>
      <c r="L66" s="340"/>
      <c r="M66" s="340"/>
      <c r="N66" s="340"/>
      <c r="O66" s="401"/>
      <c r="P66" s="346"/>
      <c r="Q66" s="379"/>
      <c r="R66" s="379"/>
      <c r="S66" s="379"/>
      <c r="T66" s="379"/>
      <c r="U66" s="379"/>
      <c r="V66" s="49" t="s">
        <v>0</v>
      </c>
      <c r="W66" s="39">
        <v>91999906</v>
      </c>
      <c r="X66" s="80" t="s">
        <v>907</v>
      </c>
      <c r="Y66" s="80" t="s">
        <v>907</v>
      </c>
      <c r="Z66" s="60" t="s">
        <v>911</v>
      </c>
      <c r="AA66" s="332">
        <v>8000000</v>
      </c>
      <c r="AB66" s="80"/>
      <c r="AC66" s="11"/>
    </row>
    <row r="67" spans="1:29" ht="15.6">
      <c r="A67" s="411" t="s">
        <v>475</v>
      </c>
      <c r="B67" s="331"/>
      <c r="C67" s="332"/>
      <c r="D67" s="332"/>
      <c r="E67" s="340"/>
      <c r="F67" s="332"/>
      <c r="G67" s="332"/>
      <c r="H67" s="332"/>
      <c r="I67" s="332"/>
      <c r="J67" s="332"/>
      <c r="K67" s="340"/>
      <c r="L67" s="340"/>
      <c r="M67" s="340"/>
      <c r="N67" s="340"/>
      <c r="O67" s="401"/>
      <c r="P67" s="346"/>
      <c r="Q67" s="379"/>
      <c r="R67" s="379"/>
      <c r="S67" s="379"/>
      <c r="T67" s="379"/>
      <c r="U67" s="379"/>
      <c r="V67" s="49" t="s">
        <v>0</v>
      </c>
      <c r="W67" s="39">
        <v>91999907</v>
      </c>
      <c r="X67" s="80" t="s">
        <v>907</v>
      </c>
      <c r="Y67" s="80" t="s">
        <v>907</v>
      </c>
      <c r="Z67" s="60" t="s">
        <v>911</v>
      </c>
      <c r="AA67" s="332">
        <v>8000000</v>
      </c>
      <c r="AB67" s="80"/>
      <c r="AC67" s="11"/>
    </row>
    <row r="68" spans="1:29">
      <c r="A68" s="445" t="s">
        <v>476</v>
      </c>
      <c r="B68" s="332">
        <f>IF(AND(OR(B11="1",B11="P"),'New Hire'!C28="Local"),ROUND(B134*B85,0),0)+'UAT3-Mar'!B75</f>
        <v>1639228</v>
      </c>
      <c r="C68" s="332">
        <f>IF(AND(OR(C11="1",C11="P"),'New Hire'!D28="Local"),ROUND(C134*C85,0),0)+'UAT3-Mar'!C75</f>
        <v>1108342</v>
      </c>
      <c r="D68" s="332">
        <f>IF(AND(OR(D11="1",D11="P"),'New Hire'!E28="Local"),ROUND(D134*D85,0),0)+'UAT3-Mar'!D75</f>
        <v>0</v>
      </c>
      <c r="E68" s="332">
        <f>IF(AND(OR(E11="1",E11="P"),'New Hire'!F28="Local"),ROUND(E134*E85,0),0)+'UAT3-Mar'!E75</f>
        <v>0</v>
      </c>
      <c r="F68" s="332">
        <f>IF(AND(OR(F11="1",F11="P"),'New Hire'!G28="Local"),ROUND(F134*F85,0),0)+'UAT3-Mar'!F75</f>
        <v>0</v>
      </c>
      <c r="G68" s="332">
        <f>IF(AND(OR(G11="1",G11="P"),'New Hire'!H28="Local"),ROUND(G134*G85,0),0)+'UAT3-Mar'!G75</f>
        <v>0</v>
      </c>
      <c r="H68" s="332">
        <f>IF(AND(OR(H11="1",H11="P"),'New Hire'!I28="Local"),ROUND(H134*H85,0),0)+'UAT3-Mar'!H75</f>
        <v>0</v>
      </c>
      <c r="I68" s="332">
        <f>IF(AND(OR(I11="1",I11="P"),'New Hire'!J28="Local"),ROUND(I134*I85,0),0)+'UAT3-Mar'!I75</f>
        <v>0</v>
      </c>
      <c r="J68" s="332">
        <f>IF(AND(OR(J11="1",J11="P"),'New Hire'!K28="Local"),ROUND(J134*J85,0),0)+'UAT3-Mar'!J75</f>
        <v>10435213</v>
      </c>
      <c r="K68" s="332">
        <f>IF(AND(OR(K11="1",K11="P"),'New Hire'!L28="Local"),ROUND(K134*K85,0),0)+'UAT3-Mar'!K75</f>
        <v>2622765</v>
      </c>
      <c r="L68" s="332">
        <f>IF(AND(OR(L11="1",L11="P"),'New Hire'!M28="Local"),ROUND(L134*L85,0),0)+'UAT3-Mar'!L75</f>
        <v>29506100</v>
      </c>
      <c r="M68" s="332">
        <f>IF(AND(OR(M11="1",M11="P"),'New Hire'!N28="Local"),ROUND(M134*M85,0),0)+'UAT3-Mar'!M75</f>
        <v>0</v>
      </c>
      <c r="N68" s="332">
        <f>IF(AND(OR(N11="1",N11="P"),'New Hire'!O28="Local"),ROUND(N134*N85,0),0)+'UAT3-Mar'!N75</f>
        <v>0</v>
      </c>
      <c r="O68" s="400">
        <f>IF(AND(OR(O11="1",O11="P"),'New Hire'!P28="Local"),ROUND(O134*O85,0),0)+'UAT3-Mar'!O75</f>
        <v>0</v>
      </c>
      <c r="P68" s="346">
        <f>SUM(B68:O68)</f>
        <v>45311648</v>
      </c>
      <c r="Q68" s="379"/>
      <c r="R68" s="379"/>
      <c r="S68" s="379"/>
      <c r="T68" s="379"/>
      <c r="U68" s="379"/>
      <c r="V68" s="32"/>
      <c r="W68" s="44"/>
      <c r="X68" s="13"/>
      <c r="Y68" s="13"/>
      <c r="Z68" s="13"/>
      <c r="AA68" s="362"/>
      <c r="AB68" s="13"/>
      <c r="AC68" s="18"/>
    </row>
    <row r="69" spans="1:29">
      <c r="A69" s="445" t="s">
        <v>484</v>
      </c>
      <c r="B69" s="617">
        <f>'UAT3-Mar'!B76</f>
        <v>0</v>
      </c>
      <c r="C69" s="617">
        <f>'UAT3-Mar'!C76</f>
        <v>2.5</v>
      </c>
      <c r="D69" s="617">
        <f>'UAT3-Mar'!D76</f>
        <v>0</v>
      </c>
      <c r="E69" s="617">
        <f>'UAT3-Mar'!E76</f>
        <v>0</v>
      </c>
      <c r="F69" s="617">
        <f>'UAT3-Mar'!F76</f>
        <v>0</v>
      </c>
      <c r="G69" s="617">
        <f>'UAT3-Mar'!G76</f>
        <v>0</v>
      </c>
      <c r="H69" s="617">
        <f>'UAT3-Mar'!H76</f>
        <v>5</v>
      </c>
      <c r="I69" s="617">
        <f>'UAT3-Mar'!I76</f>
        <v>0.5</v>
      </c>
      <c r="J69" s="617">
        <f>'UAT3-Mar'!J76</f>
        <v>0</v>
      </c>
      <c r="K69" s="617">
        <f>'UAT3-Mar'!K76</f>
        <v>0</v>
      </c>
      <c r="L69" s="617">
        <f>'UAT3-Mar'!L76</f>
        <v>0</v>
      </c>
      <c r="M69" s="617">
        <f>'UAT3-Mar'!M76</f>
        <v>0</v>
      </c>
      <c r="N69" s="617">
        <f>'UAT3-Mar'!N76</f>
        <v>1.5</v>
      </c>
      <c r="O69" s="619">
        <f>'UAT3-Mar'!O76</f>
        <v>0</v>
      </c>
      <c r="P69" s="618">
        <f>SUM(B69:O69)</f>
        <v>9.5</v>
      </c>
      <c r="Q69" s="379"/>
      <c r="R69" s="379"/>
      <c r="S69" s="379"/>
      <c r="T69" s="379"/>
      <c r="U69" s="379"/>
      <c r="V69" s="32"/>
      <c r="W69" s="44"/>
      <c r="X69" s="13"/>
      <c r="Y69" s="13"/>
      <c r="Z69" s="13"/>
      <c r="AA69" s="362"/>
      <c r="AB69" s="13"/>
      <c r="AC69" s="18"/>
    </row>
    <row r="70" spans="1:29">
      <c r="A70" s="445" t="s">
        <v>587</v>
      </c>
      <c r="B70" s="332">
        <f>B95+'UAT3-Mar'!B77</f>
        <v>33600000</v>
      </c>
      <c r="C70" s="332">
        <f>C95+'UAT3-Mar'!C77</f>
        <v>32460000</v>
      </c>
      <c r="D70" s="332">
        <f>D95+'UAT3-Mar'!D77</f>
        <v>45460000</v>
      </c>
      <c r="E70" s="332">
        <f>E95+'UAT3-Mar'!E77</f>
        <v>39600000</v>
      </c>
      <c r="F70" s="332">
        <f>F95+'UAT3-Mar'!F77</f>
        <v>59600000</v>
      </c>
      <c r="G70" s="332">
        <f>G95+'UAT3-Mar'!G77</f>
        <v>0</v>
      </c>
      <c r="H70" s="332">
        <f>H95+'UAT3-Mar'!H77</f>
        <v>522112500</v>
      </c>
      <c r="I70" s="332">
        <f>I95+'UAT3-Mar'!I77</f>
        <v>358981350</v>
      </c>
      <c r="J70" s="332">
        <f>J95+'UAT3-Mar'!J77</f>
        <v>260000000</v>
      </c>
      <c r="K70" s="332">
        <f>K95+'UAT3-Mar'!K77</f>
        <v>43060000</v>
      </c>
      <c r="L70" s="332">
        <f>L95+'UAT3-Mar'!L77</f>
        <v>360000000</v>
      </c>
      <c r="M70" s="332">
        <f>M95+'UAT3-Mar'!M77</f>
        <v>30000000</v>
      </c>
      <c r="N70" s="332">
        <f>N95+'UAT3-Mar'!N77</f>
        <v>36000000</v>
      </c>
      <c r="O70" s="400">
        <f>O95+'UAT3-Mar'!O77</f>
        <v>0</v>
      </c>
      <c r="P70" s="346">
        <f>SUM(B70:O70)</f>
        <v>1820873850</v>
      </c>
      <c r="Q70" s="379"/>
      <c r="R70" s="379"/>
      <c r="S70" s="379"/>
      <c r="T70" s="379"/>
      <c r="U70" s="379"/>
      <c r="V70" s="42"/>
      <c r="W70" s="43"/>
      <c r="X70" s="13"/>
      <c r="Y70" s="13"/>
      <c r="Z70" s="61"/>
      <c r="AA70" s="362"/>
      <c r="AB70" s="13"/>
      <c r="AC70" s="18"/>
    </row>
    <row r="71" spans="1:29">
      <c r="A71" s="412"/>
      <c r="B71" s="331"/>
      <c r="C71" s="332"/>
      <c r="D71" s="332"/>
      <c r="E71" s="340"/>
      <c r="F71" s="332"/>
      <c r="G71" s="332"/>
      <c r="H71" s="332"/>
      <c r="I71" s="332"/>
      <c r="J71" s="332"/>
      <c r="K71" s="340"/>
      <c r="L71" s="340"/>
      <c r="M71" s="340"/>
      <c r="N71" s="340"/>
      <c r="O71" s="401"/>
      <c r="P71" s="346"/>
      <c r="Q71" s="379"/>
      <c r="R71" s="379"/>
      <c r="S71" s="379"/>
      <c r="T71" s="379"/>
      <c r="U71" s="379"/>
      <c r="V71" s="24" t="s">
        <v>57</v>
      </c>
      <c r="W71" s="37" t="s">
        <v>67</v>
      </c>
      <c r="X71" s="37" t="s">
        <v>69</v>
      </c>
      <c r="Y71" s="37" t="s">
        <v>70</v>
      </c>
      <c r="Z71" s="62" t="s">
        <v>425</v>
      </c>
      <c r="AA71" s="363" t="s">
        <v>426</v>
      </c>
      <c r="AB71" s="37" t="s">
        <v>56</v>
      </c>
      <c r="AC71" s="38"/>
    </row>
    <row r="72" spans="1:29" ht="15.6">
      <c r="A72" s="411" t="s">
        <v>889</v>
      </c>
      <c r="B72" s="480"/>
      <c r="C72" s="480"/>
      <c r="D72" s="480"/>
      <c r="E72" s="480"/>
      <c r="F72" s="480"/>
      <c r="G72" s="480"/>
      <c r="H72" s="480"/>
      <c r="I72" s="480"/>
      <c r="J72" s="590"/>
      <c r="K72" s="480"/>
      <c r="L72" s="480"/>
      <c r="M72" s="480"/>
      <c r="N72" s="480"/>
      <c r="O72" s="588"/>
      <c r="P72" s="346"/>
      <c r="Q72" s="379"/>
      <c r="R72" s="379"/>
      <c r="S72" s="379"/>
      <c r="T72" s="379"/>
      <c r="U72" s="379"/>
      <c r="V72" s="49" t="s">
        <v>424</v>
      </c>
      <c r="W72" s="353">
        <v>91999906</v>
      </c>
      <c r="X72" s="289" t="s">
        <v>693</v>
      </c>
      <c r="Y72" s="289" t="s">
        <v>693</v>
      </c>
      <c r="Z72" s="292">
        <v>0.375</v>
      </c>
      <c r="AA72" s="292">
        <v>0.47916666666666669</v>
      </c>
      <c r="AB72" s="290">
        <v>9180</v>
      </c>
      <c r="AC72" s="479">
        <v>2.5</v>
      </c>
    </row>
    <row r="73" spans="1:29">
      <c r="A73" s="474" t="s">
        <v>885</v>
      </c>
      <c r="B73" s="340">
        <f t="shared" ref="B73:O73" si="23">B80*B122</f>
        <v>2307680</v>
      </c>
      <c r="C73" s="340">
        <f t="shared" si="23"/>
        <v>934632</v>
      </c>
      <c r="D73" s="340">
        <f t="shared" si="23"/>
        <v>3169010.95</v>
      </c>
      <c r="E73" s="340">
        <f t="shared" si="23"/>
        <v>4153840</v>
      </c>
      <c r="F73" s="340">
        <f t="shared" si="23"/>
        <v>5169216</v>
      </c>
      <c r="G73" s="340">
        <f t="shared" si="23"/>
        <v>0</v>
      </c>
      <c r="H73" s="340">
        <f t="shared" si="23"/>
        <v>26775000</v>
      </c>
      <c r="I73" s="340">
        <f t="shared" si="23"/>
        <v>0</v>
      </c>
      <c r="J73" s="453">
        <f t="shared" si="23"/>
        <v>6392317.9199999999</v>
      </c>
      <c r="K73" s="340">
        <f t="shared" si="23"/>
        <v>3692320</v>
      </c>
      <c r="L73" s="340">
        <f t="shared" si="23"/>
        <v>41538480</v>
      </c>
      <c r="M73" s="340">
        <f t="shared" si="23"/>
        <v>2307680</v>
      </c>
      <c r="N73" s="340">
        <f t="shared" si="23"/>
        <v>3000000</v>
      </c>
      <c r="O73" s="401">
        <f t="shared" si="23"/>
        <v>0</v>
      </c>
      <c r="P73" s="346">
        <f t="shared" ref="P73:P77" si="24">SUM(B73:O73)-J73</f>
        <v>93047858.950000003</v>
      </c>
      <c r="Q73" s="341"/>
      <c r="R73" s="341"/>
      <c r="S73" s="341"/>
      <c r="T73" s="341"/>
      <c r="U73" s="341"/>
      <c r="V73" s="49" t="s">
        <v>423</v>
      </c>
      <c r="W73" s="353">
        <v>91999906</v>
      </c>
      <c r="X73" s="289" t="s">
        <v>694</v>
      </c>
      <c r="Y73" s="289" t="s">
        <v>694</v>
      </c>
      <c r="Z73" s="292">
        <v>0.375</v>
      </c>
      <c r="AA73" s="292">
        <v>0.47916666666666669</v>
      </c>
      <c r="AB73" s="290">
        <v>9180</v>
      </c>
      <c r="AC73" s="479">
        <v>2.5</v>
      </c>
    </row>
    <row r="74" spans="1:29">
      <c r="A74" s="474" t="s">
        <v>886</v>
      </c>
      <c r="B74" s="340">
        <f t="shared" ref="B74:O74" si="25">B121*B80</f>
        <v>4615360</v>
      </c>
      <c r="C74" s="340">
        <f t="shared" si="25"/>
        <v>1869264</v>
      </c>
      <c r="D74" s="340">
        <f t="shared" si="25"/>
        <v>6337618.0499999998</v>
      </c>
      <c r="E74" s="340">
        <f t="shared" si="25"/>
        <v>8307680</v>
      </c>
      <c r="F74" s="340">
        <f t="shared" si="25"/>
        <v>10338432</v>
      </c>
      <c r="G74" s="340">
        <f t="shared" si="25"/>
        <v>0</v>
      </c>
      <c r="H74" s="340">
        <f t="shared" si="25"/>
        <v>53550000</v>
      </c>
      <c r="I74" s="340">
        <f t="shared" si="25"/>
        <v>0</v>
      </c>
      <c r="J74" s="453">
        <f t="shared" si="25"/>
        <v>12784635.84</v>
      </c>
      <c r="K74" s="340">
        <f t="shared" si="25"/>
        <v>7384640</v>
      </c>
      <c r="L74" s="340">
        <f t="shared" si="25"/>
        <v>83076960</v>
      </c>
      <c r="M74" s="340">
        <f t="shared" si="25"/>
        <v>4615360</v>
      </c>
      <c r="N74" s="340">
        <f t="shared" si="25"/>
        <v>6000000</v>
      </c>
      <c r="O74" s="401">
        <f t="shared" si="25"/>
        <v>0</v>
      </c>
      <c r="P74" s="346">
        <f t="shared" si="24"/>
        <v>186095314.04999998</v>
      </c>
      <c r="Q74" s="341"/>
      <c r="R74" s="341"/>
      <c r="S74" s="341"/>
      <c r="T74" s="341"/>
      <c r="U74" s="341"/>
      <c r="V74" s="49" t="s">
        <v>423</v>
      </c>
      <c r="W74" s="353">
        <v>91999914</v>
      </c>
      <c r="X74" s="289" t="s">
        <v>695</v>
      </c>
      <c r="Y74" s="289" t="s">
        <v>695</v>
      </c>
      <c r="Z74" s="292">
        <v>0.375</v>
      </c>
      <c r="AA74" s="292">
        <v>0.47916666666666669</v>
      </c>
      <c r="AB74" s="290">
        <v>9180</v>
      </c>
      <c r="AC74" s="479">
        <v>2.5</v>
      </c>
    </row>
    <row r="75" spans="1:29">
      <c r="A75" s="474" t="s">
        <v>928</v>
      </c>
      <c r="B75" s="340" t="e">
        <f>IF(OR(B18="A",B18="B"),ROUND(B148/12,0),ROUND(B148*$B$4/12,0))+'UAT3-Mar'!B82</f>
        <v>#REF!</v>
      </c>
      <c r="C75" s="340" t="e">
        <f>IF(OR(C18="A",C18="B"),ROUND(C148/12,0),ROUND(C148*$B$4/12,0))+'UAT3-Mar'!C82</f>
        <v>#REF!</v>
      </c>
      <c r="D75" s="340" t="e">
        <f>IF(OR(D18="A",D18="B"),ROUND(D148/12,0),ROUND(D148*$B$4/12,0))+'UAT3-Mar'!D82</f>
        <v>#REF!</v>
      </c>
      <c r="E75" s="340" t="e">
        <f>IF(OR(E18="A",E18="B"),ROUND(E148/12,0),ROUND(E148*$B$4/12,0))+'UAT3-Mar'!E82</f>
        <v>#REF!</v>
      </c>
      <c r="F75" s="340" t="e">
        <f>IF(OR(F18="A",F18="B"),ROUND(F148/12,0),ROUND(F148*$B$4/12,0))+'UAT3-Mar'!F82</f>
        <v>#REF!</v>
      </c>
      <c r="G75" s="340" t="e">
        <f>IF(OR(G18="A",G18="B"),ROUND(G148/12,0),ROUND(G148*$B$4/12,0))+'UAT3-Mar'!G82</f>
        <v>#REF!</v>
      </c>
      <c r="H75" s="340" t="e">
        <f>IF(OR(H18="A",H18="B"),ROUND(H148/12,0),ROUND(H148*$B$4/12,0))+'UAT3-Mar'!H82</f>
        <v>#REF!</v>
      </c>
      <c r="I75" s="340" t="e">
        <f>IF(OR(I18="A",I18="B"),ROUND(I148/12,0),ROUND(I148*$B$4/12,0))+'UAT3-Mar'!I82</f>
        <v>#REF!</v>
      </c>
      <c r="J75" s="340" t="e">
        <f>IF(OR(J18="A",J18="B"),ROUND(J148/12,0),ROUND(J148*$B$4/12,0))+'UAT3-Mar'!J82</f>
        <v>#REF!</v>
      </c>
      <c r="K75" s="340" t="e">
        <f>IF(OR(K18="A",K18="B"),ROUND(K148/12,0),ROUND(K148*$B$4/12,0))+'UAT3-Mar'!K82</f>
        <v>#REF!</v>
      </c>
      <c r="L75" s="340" t="e">
        <f>IF(OR(L18="A",L18="B"),ROUND(L148/12,0),ROUND(L148*$B$4/12,0))+'UAT3-Mar'!L82</f>
        <v>#REF!</v>
      </c>
      <c r="M75" s="340" t="e">
        <f>IF(OR(M18="A",M18="B"),ROUND(M148/12,0),ROUND(M148*$B$4/12,0))+'UAT3-Mar'!M82</f>
        <v>#REF!</v>
      </c>
      <c r="N75" s="340" t="e">
        <f>IF(OR(N18="A",N18="B"),ROUND(N148/12,0),ROUND(N148*$B$4/12,0))+'UAT3-Mar'!N82</f>
        <v>#REF!</v>
      </c>
      <c r="O75" s="401" t="e">
        <f>IF(OR(O18="A",O18="B"),ROUND(O148/12,0),ROUND(O148*$B$4/12,0))+'UAT3-Mar'!O82</f>
        <v>#REF!</v>
      </c>
      <c r="P75" s="346" t="e">
        <f t="shared" si="24"/>
        <v>#REF!</v>
      </c>
      <c r="Q75" s="341"/>
      <c r="R75" s="341"/>
      <c r="S75" s="341"/>
      <c r="T75" s="341"/>
      <c r="U75" s="341"/>
      <c r="V75" s="49" t="s">
        <v>423</v>
      </c>
      <c r="W75" s="353">
        <v>91999914</v>
      </c>
      <c r="X75" s="289" t="s">
        <v>696</v>
      </c>
      <c r="Y75" s="289" t="s">
        <v>696</v>
      </c>
      <c r="Z75" s="292">
        <v>0.375</v>
      </c>
      <c r="AA75" s="292">
        <v>0.47916666666666669</v>
      </c>
      <c r="AB75" s="290">
        <v>9180</v>
      </c>
      <c r="AC75" s="479">
        <v>2.5</v>
      </c>
    </row>
    <row r="76" spans="1:29">
      <c r="A76" s="474" t="s">
        <v>887</v>
      </c>
      <c r="B76" s="340"/>
      <c r="C76" s="340">
        <f>ROUND((C134+C140+C141)/12*AB37*C15/261,0)</f>
        <v>2402</v>
      </c>
      <c r="D76" s="340"/>
      <c r="E76" s="340"/>
      <c r="F76" s="340"/>
      <c r="G76" s="340"/>
      <c r="H76" s="340">
        <f>ROUND((H134*B4+H140+H141)/12*AB38*H15/261,0)</f>
        <v>456395</v>
      </c>
      <c r="I76" s="340"/>
      <c r="J76" s="453"/>
      <c r="K76" s="340"/>
      <c r="L76" s="340"/>
      <c r="M76" s="340"/>
      <c r="N76" s="340"/>
      <c r="O76" s="401"/>
      <c r="P76" s="346">
        <f t="shared" si="24"/>
        <v>458797</v>
      </c>
      <c r="Q76" s="341"/>
      <c r="R76" s="341"/>
      <c r="S76" s="341"/>
      <c r="T76" s="341"/>
      <c r="U76" s="341"/>
      <c r="V76" s="49" t="s">
        <v>423</v>
      </c>
      <c r="W76" s="39"/>
      <c r="X76" s="354"/>
      <c r="Y76" s="7"/>
      <c r="Z76" s="60"/>
      <c r="AA76" s="332"/>
      <c r="AB76" s="7"/>
      <c r="AC76" s="12"/>
    </row>
    <row r="77" spans="1:29">
      <c r="A77" s="474" t="s">
        <v>888</v>
      </c>
      <c r="B77" s="340">
        <f t="shared" ref="B77:O77" si="26">IF(OR(B18="A",B18="B"),ROUND(B69*B134*50%,0),ROUND(B69*B134*$B$4*50%,0))</f>
        <v>0</v>
      </c>
      <c r="C77" s="340">
        <f t="shared" si="26"/>
        <v>5625000</v>
      </c>
      <c r="D77" s="340">
        <f t="shared" si="26"/>
        <v>0</v>
      </c>
      <c r="E77" s="340">
        <f t="shared" si="26"/>
        <v>0</v>
      </c>
      <c r="F77" s="340">
        <f t="shared" si="26"/>
        <v>0</v>
      </c>
      <c r="G77" s="340">
        <f t="shared" si="26"/>
        <v>0</v>
      </c>
      <c r="H77" s="340">
        <f t="shared" si="26"/>
        <v>290062500</v>
      </c>
      <c r="I77" s="340">
        <f t="shared" si="26"/>
        <v>23205000</v>
      </c>
      <c r="J77" s="340">
        <f t="shared" si="26"/>
        <v>0</v>
      </c>
      <c r="K77" s="340">
        <f t="shared" si="26"/>
        <v>0</v>
      </c>
      <c r="L77" s="340">
        <f t="shared" si="26"/>
        <v>0</v>
      </c>
      <c r="M77" s="340">
        <f t="shared" si="26"/>
        <v>0</v>
      </c>
      <c r="N77" s="340">
        <f t="shared" si="26"/>
        <v>4875000</v>
      </c>
      <c r="O77" s="401">
        <f t="shared" si="26"/>
        <v>0</v>
      </c>
      <c r="P77" s="346">
        <f t="shared" si="24"/>
        <v>323767500</v>
      </c>
      <c r="Q77" s="341"/>
      <c r="R77" s="341"/>
      <c r="S77" s="341"/>
      <c r="T77" s="341"/>
      <c r="U77" s="341"/>
      <c r="V77" s="49" t="s">
        <v>423</v>
      </c>
      <c r="W77" s="39"/>
      <c r="X77" s="7"/>
      <c r="Y77" s="7"/>
      <c r="Z77" s="60"/>
      <c r="AA77" s="332"/>
      <c r="AB77" s="7"/>
      <c r="AC77" s="12"/>
    </row>
    <row r="78" spans="1:29">
      <c r="A78" s="474"/>
      <c r="B78" s="480"/>
      <c r="C78" s="480"/>
      <c r="D78" s="480"/>
      <c r="E78" s="480"/>
      <c r="F78" s="480"/>
      <c r="G78" s="480"/>
      <c r="H78" s="480"/>
      <c r="I78" s="480"/>
      <c r="J78" s="590"/>
      <c r="K78" s="480"/>
      <c r="L78" s="480"/>
      <c r="M78" s="480"/>
      <c r="N78" s="480"/>
      <c r="O78" s="588"/>
      <c r="P78" s="346"/>
      <c r="Q78" s="347"/>
      <c r="R78" s="347"/>
      <c r="S78" s="347"/>
      <c r="T78" s="347"/>
      <c r="U78" s="347"/>
      <c r="V78" s="49" t="s">
        <v>423</v>
      </c>
      <c r="W78" s="39"/>
      <c r="X78" s="7"/>
      <c r="Y78" s="7"/>
      <c r="Z78" s="60"/>
      <c r="AA78" s="332"/>
      <c r="AB78" s="7"/>
      <c r="AC78" s="12"/>
    </row>
    <row r="79" spans="1:29" ht="15.6">
      <c r="A79" s="411" t="s">
        <v>485</v>
      </c>
      <c r="B79" s="331"/>
      <c r="C79" s="332"/>
      <c r="D79" s="332"/>
      <c r="E79" s="340"/>
      <c r="F79" s="332"/>
      <c r="G79" s="332"/>
      <c r="H79" s="332"/>
      <c r="I79" s="332"/>
      <c r="J79" s="332"/>
      <c r="K79" s="340"/>
      <c r="L79" s="340"/>
      <c r="M79" s="340"/>
      <c r="N79" s="340"/>
      <c r="O79" s="401"/>
      <c r="P79" s="346"/>
      <c r="Q79" s="347"/>
      <c r="R79" s="347"/>
      <c r="S79" s="347"/>
      <c r="T79" s="347"/>
      <c r="U79" s="347"/>
      <c r="V79" s="49" t="s">
        <v>423</v>
      </c>
      <c r="W79" s="39"/>
      <c r="X79" s="7"/>
      <c r="Y79" s="7"/>
      <c r="Z79" s="60"/>
      <c r="AA79" s="332"/>
      <c r="AB79" s="7"/>
      <c r="AC79" s="12"/>
    </row>
    <row r="80" spans="1:29">
      <c r="A80" s="445" t="s">
        <v>490</v>
      </c>
      <c r="B80" s="332">
        <f>IF(OR(B18="A",B18="B"),IF(B11&lt;&gt;"C",ROUND(B134*12/52/40,0),B134),IF(B11&lt;&gt;"C",ROUND(B134*$B$4*12/52/40,0),B134*$B$4))</f>
        <v>28846</v>
      </c>
      <c r="C80" s="332">
        <f>IF(OR(C18="A",C18="B"),IF(C11&lt;&gt;"C",ROUND(C134*12/52/40,0),C134),IF(C11&lt;&gt;"C",ROUND(C134*$B$4*12/52/40,0),C134*$B$4))</f>
        <v>25962</v>
      </c>
      <c r="D80" s="332">
        <f>IF(OR(D18="A",D18="B"),IF(D11&lt;&gt;"C",ROUND(D134*12/52/40,0),D134),IF(D11&lt;&gt;"C",ROUND(D134*$B$4*12/52/40,0),D134*$B$4))</f>
        <v>40385</v>
      </c>
      <c r="E80" s="332">
        <f>IF(OR(E18="A",E18="B"),IF(E11&lt;&gt;"C",ROUND(E134*12/52/40,0),E134),IF(E11&lt;&gt;"C",ROUND(E134*$B$4*12/52/40,0),E134*$B$4))</f>
        <v>51923</v>
      </c>
      <c r="F80" s="332">
        <f>IF(OR(F18="A",F18="B"),IF(F11&lt;&gt;"C",ROUND(F134*12/52/40,0),F134),IF(F11&lt;&gt;"C",ROUND(F134*$B$4*12/52/40,0),F134*$B$4))</f>
        <v>80769</v>
      </c>
      <c r="G80" s="332">
        <f>IF(OR(G18="A",G18="B"),IF(G11&lt;&gt;"C",ROUND(G135*12/52/40,0),G135),IF(G11&lt;&gt;"C",ROUND(G135*$B$4*12/52/40,0),G135*$B$4))</f>
        <v>4641000</v>
      </c>
      <c r="H80" s="332">
        <f t="shared" ref="H80:N80" si="27">IF(OR(H18="A",H18="B"),IF(H11&lt;&gt;"C",ROUND(H134*12/52/40,0),H134),IF(H11&lt;&gt;"C",ROUND(H134*$B$4*12/52/40,0),H134*$B$4))</f>
        <v>669375</v>
      </c>
      <c r="I80" s="332">
        <f t="shared" si="27"/>
        <v>535500</v>
      </c>
      <c r="J80" s="332">
        <f t="shared" si="27"/>
        <v>288462</v>
      </c>
      <c r="K80" s="332">
        <f t="shared" si="27"/>
        <v>46154</v>
      </c>
      <c r="L80" s="332">
        <f t="shared" si="27"/>
        <v>519231</v>
      </c>
      <c r="M80" s="332">
        <f t="shared" si="27"/>
        <v>28846</v>
      </c>
      <c r="N80" s="332">
        <f t="shared" si="27"/>
        <v>37500</v>
      </c>
      <c r="O80" s="400">
        <f>IF(OR(O18="A",O18="B"),IF(O11&lt;&gt;"C",ROUND(O135*12/52/40,0),O135),IF(O11&lt;&gt;"C",ROUND(O135*$B$4*12/52/40,0),O135*$B$4))</f>
        <v>800000</v>
      </c>
      <c r="P80" s="346">
        <f t="shared" ref="P80:P88" si="28">SUM(B80:O80)</f>
        <v>7793953</v>
      </c>
      <c r="Q80" s="347"/>
      <c r="R80" s="347"/>
      <c r="S80" s="347"/>
      <c r="T80" s="347"/>
      <c r="U80" s="347"/>
      <c r="V80" s="49" t="s">
        <v>423</v>
      </c>
      <c r="W80" s="39"/>
      <c r="X80" s="7"/>
      <c r="Y80" s="7"/>
      <c r="Z80" s="60"/>
      <c r="AA80" s="332"/>
      <c r="AB80" s="7"/>
      <c r="AC80" s="12"/>
    </row>
    <row r="81" spans="1:29">
      <c r="A81" s="445" t="s">
        <v>501</v>
      </c>
      <c r="B81" s="332">
        <f>IF(OR(B18="A",B18="B"),ROUND(SUM(B134:B137,B139)*12/52/5*B13%,0),ROUND(SUM(B134:B137,B139)*12/52/5*$B$4*B13%,0))</f>
        <v>300000</v>
      </c>
      <c r="C81" s="332">
        <f>IF(OR(C18="A",C18="B"),ROUND(SUM(C134:C137,C139)*12/52/5*C13%,0),ROUND(SUM(C134:C137,C139)*12/52/5*$B$4*C13%,0))</f>
        <v>135000</v>
      </c>
      <c r="D81" s="332">
        <f>IF(OR(D18="A",D18="B"),ROUND(SUM(D134:D137,D139)*12/52/5*D13%,0),ROUND(SUM(D134:D137,D139)*12/52/5*$B$4*D13%,0))</f>
        <v>420000</v>
      </c>
      <c r="E81" s="332">
        <f>IF(OR(E18="A",E18="B"),ROUND(SUM(E134:E137,E139)*12/52/5*E13%,0),ROUND(SUM(E134:E137,E139)*12/52/5*$B$4*E13%,0))</f>
        <v>415385</v>
      </c>
      <c r="F81" s="332">
        <f>IF(OR(F18="A",F18="B"),ROUND(SUM(F134:F137,F139)*12/52/5*F13%,0),ROUND(SUM(F134:F137,F139)*12/52/5*$B$4*F13%,0))</f>
        <v>646154</v>
      </c>
      <c r="G81" s="332">
        <f>IF(OR(G18="A",G18="B"),ROUND(SUM(G135:G137,G139)*12/52/5*G13%,0),ROUND(SUM(G135:G137,G139)*12/52/5*$B$4*G13%,0))</f>
        <v>214200</v>
      </c>
      <c r="H81" s="332">
        <f t="shared" ref="H81:N81" si="29">IF(OR(H18="A",H18="B"),ROUND(SUM(H134:H137,H139)*12/52/5*H13%,0),ROUND(SUM(H134:H137,H139)*12/52/5*$B$4*H13%,0))</f>
        <v>3480750</v>
      </c>
      <c r="I81" s="332">
        <f t="shared" si="29"/>
        <v>4284000</v>
      </c>
      <c r="J81" s="332">
        <f t="shared" si="29"/>
        <v>1500000</v>
      </c>
      <c r="K81" s="332">
        <f t="shared" si="29"/>
        <v>480000</v>
      </c>
      <c r="L81" s="332">
        <f t="shared" si="29"/>
        <v>4153846</v>
      </c>
      <c r="M81" s="332">
        <f t="shared" si="29"/>
        <v>346154</v>
      </c>
      <c r="N81" s="332">
        <f t="shared" si="29"/>
        <v>415385</v>
      </c>
      <c r="O81" s="400">
        <f>IF(OR(O18="A",O18="B"),ROUND(SUM(O135:O137,O139)*12/52/5*O13%,0),ROUND(SUM(O135:O137,O139)*12/52/5*$B$4*O13%,0))</f>
        <v>36923</v>
      </c>
      <c r="P81" s="346">
        <f t="shared" si="28"/>
        <v>16827797</v>
      </c>
      <c r="Q81" s="347"/>
      <c r="R81" s="347"/>
      <c r="S81" s="347"/>
      <c r="T81" s="347"/>
      <c r="U81" s="347"/>
      <c r="V81" s="49" t="s">
        <v>423</v>
      </c>
      <c r="W81" s="39"/>
      <c r="X81" s="7"/>
      <c r="Y81" s="7"/>
      <c r="Z81" s="60"/>
      <c r="AA81" s="332"/>
      <c r="AB81" s="7"/>
      <c r="AC81" s="12"/>
    </row>
    <row r="82" spans="1:29">
      <c r="A82" s="445" t="s">
        <v>502</v>
      </c>
      <c r="B82" s="332">
        <f>IF(OR(B18="A",B18="B"),ROUND(B134/B15,0),ROUND(B134*$B$4/B15,0))</f>
        <v>227273</v>
      </c>
      <c r="C82" s="332">
        <f>IF(OR(C18="A",C18="B"),ROUND(C134/C15,0),ROUND(C134*$B$4/C15,0))</f>
        <v>204545</v>
      </c>
      <c r="D82" s="332">
        <f>IF(OR(D18="A",D18="B"),ROUND(D134/D15,0),ROUND(D134*$B$4/D15,0))</f>
        <v>318182</v>
      </c>
      <c r="E82" s="332">
        <f>IF(OR(E18="A",E18="B"),ROUND(E134/E15,0),ROUND(E134*$B$4/E15,0))</f>
        <v>409091</v>
      </c>
      <c r="F82" s="332">
        <f>IF(OR(F18="A",F18="B"),ROUND(F134/F15,0),ROUND(F134*$B$4/F15,0))</f>
        <v>636364</v>
      </c>
      <c r="G82" s="332">
        <f>IF(OR(G18="A",G18="B"),ROUND(G135/G15,0),ROUND(G135*$B$4/G15,0))</f>
        <v>210955</v>
      </c>
      <c r="H82" s="332">
        <f t="shared" ref="H82:N82" si="30">IF(OR(H18="A",H18="B"),ROUND(H134/H15,0),ROUND(H134*$B$4/H15,0))</f>
        <v>5273864</v>
      </c>
      <c r="I82" s="332">
        <f t="shared" si="30"/>
        <v>4219091</v>
      </c>
      <c r="J82" s="332">
        <f t="shared" si="30"/>
        <v>2272727</v>
      </c>
      <c r="K82" s="332">
        <f t="shared" si="30"/>
        <v>363636</v>
      </c>
      <c r="L82" s="332">
        <f t="shared" si="30"/>
        <v>4090909</v>
      </c>
      <c r="M82" s="332">
        <f t="shared" si="30"/>
        <v>227273</v>
      </c>
      <c r="N82" s="332">
        <f t="shared" si="30"/>
        <v>295455</v>
      </c>
      <c r="O82" s="400">
        <f>IF(OR(O18="A",O18="B"),ROUND(O135/O15,0),ROUND(O135*$B$4/O15,0))</f>
        <v>36364</v>
      </c>
      <c r="P82" s="346">
        <f t="shared" si="28"/>
        <v>18785729</v>
      </c>
      <c r="Q82" s="347"/>
      <c r="R82" s="347"/>
      <c r="S82" s="347"/>
      <c r="T82" s="347"/>
      <c r="U82" s="347"/>
      <c r="V82" s="33"/>
      <c r="W82" s="45"/>
      <c r="X82" s="13"/>
      <c r="Y82" s="13"/>
      <c r="Z82" s="13"/>
      <c r="AA82" s="13"/>
      <c r="AB82" s="13"/>
      <c r="AC82" s="18"/>
    </row>
    <row r="83" spans="1:29">
      <c r="A83" s="445" t="s">
        <v>628</v>
      </c>
      <c r="B83" s="332">
        <f t="shared" ref="B83:O83" si="31">IF(OR(B18="A",B18="B"),ROUND(SUM(B136:B138,B140:B142)/B15,0),ROUND(SUM(B136:B138,B140:B142)*$B$4/B15,0))</f>
        <v>68182</v>
      </c>
      <c r="C83" s="332">
        <f t="shared" si="31"/>
        <v>61364</v>
      </c>
      <c r="D83" s="332">
        <f t="shared" si="31"/>
        <v>95455</v>
      </c>
      <c r="E83" s="332">
        <f t="shared" si="31"/>
        <v>0</v>
      </c>
      <c r="F83" s="332">
        <f t="shared" si="31"/>
        <v>0</v>
      </c>
      <c r="G83" s="332">
        <f t="shared" si="31"/>
        <v>0</v>
      </c>
      <c r="H83" s="332">
        <f t="shared" si="31"/>
        <v>1582159</v>
      </c>
      <c r="I83" s="332">
        <f t="shared" si="31"/>
        <v>0</v>
      </c>
      <c r="J83" s="332">
        <f t="shared" si="31"/>
        <v>681818</v>
      </c>
      <c r="K83" s="332">
        <f t="shared" si="31"/>
        <v>109091</v>
      </c>
      <c r="L83" s="332">
        <f t="shared" si="31"/>
        <v>0</v>
      </c>
      <c r="M83" s="332">
        <f t="shared" si="31"/>
        <v>113636</v>
      </c>
      <c r="N83" s="332">
        <f t="shared" si="31"/>
        <v>113636</v>
      </c>
      <c r="O83" s="400">
        <f t="shared" si="31"/>
        <v>0</v>
      </c>
      <c r="P83" s="346">
        <f t="shared" si="28"/>
        <v>2825341</v>
      </c>
      <c r="Q83" s="347"/>
      <c r="R83" s="347"/>
      <c r="S83" s="347"/>
      <c r="T83" s="347"/>
      <c r="U83" s="347"/>
      <c r="V83" s="33"/>
      <c r="W83" s="45"/>
      <c r="X83" s="13"/>
      <c r="Y83" s="13"/>
      <c r="Z83" s="13"/>
      <c r="AA83" s="13"/>
      <c r="AB83" s="13"/>
      <c r="AC83" s="18"/>
    </row>
    <row r="84" spans="1:29">
      <c r="A84" s="445" t="s">
        <v>503</v>
      </c>
      <c r="B84" s="7">
        <f t="shared" ref="B84:O84" si="32">B14/B15*100%</f>
        <v>1</v>
      </c>
      <c r="C84" s="7">
        <f t="shared" si="32"/>
        <v>1</v>
      </c>
      <c r="D84" s="7">
        <f t="shared" si="32"/>
        <v>1</v>
      </c>
      <c r="E84" s="7">
        <f t="shared" si="32"/>
        <v>1</v>
      </c>
      <c r="F84" s="7">
        <f t="shared" si="32"/>
        <v>1</v>
      </c>
      <c r="G84" s="7">
        <f t="shared" si="32"/>
        <v>1</v>
      </c>
      <c r="H84" s="7">
        <f t="shared" si="32"/>
        <v>1</v>
      </c>
      <c r="I84" s="7">
        <f t="shared" si="32"/>
        <v>1</v>
      </c>
      <c r="J84" s="7">
        <f t="shared" si="32"/>
        <v>1</v>
      </c>
      <c r="K84" s="7">
        <f t="shared" si="32"/>
        <v>1</v>
      </c>
      <c r="L84" s="7">
        <f t="shared" si="32"/>
        <v>1</v>
      </c>
      <c r="M84" s="7">
        <f t="shared" si="32"/>
        <v>1</v>
      </c>
      <c r="N84" s="7">
        <f t="shared" si="32"/>
        <v>1</v>
      </c>
      <c r="O84" s="12">
        <f t="shared" si="32"/>
        <v>1</v>
      </c>
      <c r="P84" s="346">
        <f t="shared" si="28"/>
        <v>14</v>
      </c>
      <c r="Q84" s="348"/>
      <c r="R84" s="348"/>
      <c r="S84" s="348"/>
      <c r="T84" s="348"/>
      <c r="U84" s="348"/>
      <c r="V84" s="33"/>
      <c r="W84" s="45"/>
      <c r="X84" s="13"/>
      <c r="Y84" s="13"/>
      <c r="Z84" s="13"/>
      <c r="AA84" s="13"/>
      <c r="AB84" s="13"/>
      <c r="AC84" s="18"/>
    </row>
    <row r="85" spans="1:29">
      <c r="A85" s="445" t="s">
        <v>504</v>
      </c>
      <c r="B85" s="7">
        <f t="shared" ref="B85:O85" si="33">(B14-B143)/261*100%</f>
        <v>8.4291187739463605E-2</v>
      </c>
      <c r="C85" s="7">
        <f t="shared" si="33"/>
        <v>8.4291187739463605E-2</v>
      </c>
      <c r="D85" s="7">
        <f t="shared" si="33"/>
        <v>8.4291187739463605E-2</v>
      </c>
      <c r="E85" s="7">
        <f t="shared" si="33"/>
        <v>8.4291187739463605E-2</v>
      </c>
      <c r="F85" s="7">
        <f t="shared" si="33"/>
        <v>8.4291187739463605E-2</v>
      </c>
      <c r="G85" s="7">
        <f t="shared" si="33"/>
        <v>8.4291187739463605E-2</v>
      </c>
      <c r="H85" s="7">
        <f t="shared" si="33"/>
        <v>8.4291187739463605E-2</v>
      </c>
      <c r="I85" s="7">
        <f t="shared" si="33"/>
        <v>8.4291187739463605E-2</v>
      </c>
      <c r="J85" s="7">
        <f t="shared" si="33"/>
        <v>8.4291187739463605E-2</v>
      </c>
      <c r="K85" s="7">
        <f t="shared" si="33"/>
        <v>8.4291187739463605E-2</v>
      </c>
      <c r="L85" s="7">
        <f t="shared" si="33"/>
        <v>8.4291187739463605E-2</v>
      </c>
      <c r="M85" s="7">
        <f t="shared" si="33"/>
        <v>8.4291187739463605E-2</v>
      </c>
      <c r="N85" s="7">
        <f t="shared" si="33"/>
        <v>8.4291187739463605E-2</v>
      </c>
      <c r="O85" s="7">
        <f t="shared" si="33"/>
        <v>8.4291187739463605E-2</v>
      </c>
      <c r="P85" s="346">
        <f t="shared" si="28"/>
        <v>1.1800766283524908</v>
      </c>
      <c r="Q85" s="347"/>
      <c r="R85" s="347"/>
      <c r="S85" s="347"/>
      <c r="T85" s="347"/>
      <c r="U85" s="347"/>
      <c r="V85" s="32"/>
      <c r="W85" s="44"/>
      <c r="X85" s="13"/>
      <c r="Y85" s="13"/>
      <c r="Z85" s="13"/>
      <c r="AA85" s="13"/>
      <c r="AB85" s="13"/>
      <c r="AC85" s="18"/>
    </row>
    <row r="86" spans="1:29">
      <c r="A86" s="445" t="s">
        <v>505</v>
      </c>
      <c r="B86" s="7">
        <f t="shared" ref="B86:O86" si="34">B145/B15*100%</f>
        <v>0</v>
      </c>
      <c r="C86" s="7">
        <f t="shared" si="34"/>
        <v>0</v>
      </c>
      <c r="D86" s="7">
        <f t="shared" si="34"/>
        <v>0</v>
      </c>
      <c r="E86" s="7">
        <f t="shared" si="34"/>
        <v>0</v>
      </c>
      <c r="F86" s="7">
        <f t="shared" si="34"/>
        <v>0</v>
      </c>
      <c r="G86" s="7">
        <f t="shared" si="34"/>
        <v>0</v>
      </c>
      <c r="H86" s="7">
        <f t="shared" si="34"/>
        <v>0</v>
      </c>
      <c r="I86" s="7">
        <f t="shared" si="34"/>
        <v>0</v>
      </c>
      <c r="J86" s="7">
        <f t="shared" si="34"/>
        <v>0</v>
      </c>
      <c r="K86" s="7">
        <f t="shared" si="34"/>
        <v>0</v>
      </c>
      <c r="L86" s="7">
        <f t="shared" si="34"/>
        <v>0</v>
      </c>
      <c r="M86" s="7">
        <f t="shared" si="34"/>
        <v>0</v>
      </c>
      <c r="N86" s="7">
        <f t="shared" si="34"/>
        <v>0</v>
      </c>
      <c r="O86" s="12">
        <f t="shared" si="34"/>
        <v>0</v>
      </c>
      <c r="P86" s="346">
        <f t="shared" si="28"/>
        <v>0</v>
      </c>
      <c r="Q86" s="347"/>
      <c r="R86" s="347"/>
      <c r="S86" s="347"/>
      <c r="T86" s="347"/>
      <c r="U86" s="347"/>
      <c r="V86" s="34"/>
      <c r="W86" s="46"/>
      <c r="X86" s="35"/>
      <c r="Y86" s="35"/>
      <c r="Z86" s="35"/>
      <c r="AA86" s="35"/>
      <c r="AB86" s="35"/>
      <c r="AC86" s="36"/>
    </row>
    <row r="87" spans="1:29">
      <c r="A87" s="415" t="s">
        <v>494</v>
      </c>
      <c r="B87" s="331">
        <f>ROUND(AA23*B16/365,0)</f>
        <v>657534</v>
      </c>
      <c r="C87" s="332">
        <f>ROUND(AA24*C16/365,0)</f>
        <v>657534</v>
      </c>
      <c r="E87" s="332">
        <f>ROUND(AA25*E16/365,0)</f>
        <v>657534</v>
      </c>
      <c r="F87" s="332">
        <f>ROUND(AA26*F16/365,0)</f>
        <v>657534</v>
      </c>
      <c r="G87" s="332"/>
      <c r="H87" s="332">
        <f>ROUND(AA27*G16/365,0)</f>
        <v>657534</v>
      </c>
      <c r="I87" s="332"/>
      <c r="J87" s="332"/>
      <c r="K87" s="340"/>
      <c r="L87" s="340"/>
      <c r="M87" s="340"/>
      <c r="N87" s="340"/>
      <c r="O87" s="401"/>
      <c r="P87" s="346">
        <f t="shared" si="28"/>
        <v>3287670</v>
      </c>
      <c r="Q87" s="347"/>
      <c r="R87" s="347"/>
      <c r="S87" s="347"/>
      <c r="T87" s="347"/>
      <c r="U87" s="347"/>
    </row>
    <row r="88" spans="1:29">
      <c r="A88" s="412" t="s">
        <v>536</v>
      </c>
      <c r="B88" s="331"/>
      <c r="C88" s="332"/>
      <c r="E88" s="332"/>
      <c r="F88" s="332"/>
      <c r="G88" s="332"/>
      <c r="H88" s="332">
        <f>ROUND(AA32*G16/365,0)</f>
        <v>575342</v>
      </c>
      <c r="I88" s="332"/>
      <c r="J88" s="332"/>
      <c r="K88" s="332"/>
      <c r="L88" s="332"/>
      <c r="M88" s="332"/>
      <c r="N88" s="332"/>
      <c r="O88" s="400"/>
      <c r="P88" s="346">
        <f t="shared" si="28"/>
        <v>575342</v>
      </c>
      <c r="Q88" s="347"/>
      <c r="R88" s="347"/>
      <c r="S88" s="347"/>
      <c r="T88" s="347"/>
      <c r="U88" s="347"/>
      <c r="V88"/>
      <c r="W88"/>
      <c r="X88"/>
      <c r="Y88"/>
      <c r="Z88"/>
      <c r="AA88"/>
      <c r="AB88"/>
      <c r="AC88"/>
    </row>
    <row r="89" spans="1:29">
      <c r="A89" s="412" t="s">
        <v>613</v>
      </c>
      <c r="B89" s="402"/>
      <c r="C89" s="80"/>
      <c r="D89" s="332"/>
      <c r="E89" s="332"/>
      <c r="F89" s="332"/>
      <c r="G89" s="332"/>
      <c r="H89" s="332">
        <f>AA33*B4</f>
        <v>2320500</v>
      </c>
      <c r="I89" s="332">
        <f>AA34*B4</f>
        <v>2320500</v>
      </c>
      <c r="J89" s="332"/>
      <c r="K89" s="340"/>
      <c r="L89" s="340"/>
      <c r="M89" s="340"/>
      <c r="N89" s="340"/>
      <c r="O89" s="401"/>
      <c r="P89" s="355">
        <f>SUM(D89:O89)</f>
        <v>4641000</v>
      </c>
      <c r="Q89" s="379"/>
      <c r="R89" s="379"/>
      <c r="S89" s="379"/>
      <c r="T89" s="379"/>
      <c r="U89" s="379"/>
      <c r="V89"/>
      <c r="W89"/>
      <c r="X89"/>
      <c r="Y89"/>
      <c r="Z89"/>
      <c r="AA89"/>
      <c r="AB89"/>
      <c r="AC89"/>
    </row>
    <row r="90" spans="1:29">
      <c r="A90" s="412" t="s">
        <v>614</v>
      </c>
      <c r="B90" s="402"/>
      <c r="C90" s="80"/>
      <c r="D90" s="332"/>
      <c r="E90" s="332"/>
      <c r="F90" s="332"/>
      <c r="G90" s="332"/>
      <c r="H90" s="332">
        <f>AA35*B4</f>
        <v>4641000</v>
      </c>
      <c r="I90" s="332">
        <f>AA36*B4</f>
        <v>4641000</v>
      </c>
      <c r="J90" s="332"/>
      <c r="K90" s="340"/>
      <c r="L90" s="340"/>
      <c r="M90" s="340"/>
      <c r="N90" s="340"/>
      <c r="O90" s="401"/>
      <c r="P90" s="355">
        <f>SUM(D90:O90)</f>
        <v>9282000</v>
      </c>
      <c r="Q90" s="379"/>
      <c r="R90" s="379"/>
      <c r="S90" s="379"/>
      <c r="T90" s="379"/>
      <c r="U90" s="379"/>
      <c r="V90"/>
      <c r="W90"/>
      <c r="X90"/>
      <c r="Y90"/>
      <c r="Z90"/>
      <c r="AA90"/>
      <c r="AB90"/>
      <c r="AC90"/>
    </row>
    <row r="91" spans="1:29">
      <c r="A91" s="412"/>
      <c r="B91" s="331"/>
      <c r="C91" s="332"/>
      <c r="D91" s="332"/>
      <c r="E91" s="340"/>
      <c r="F91" s="332"/>
      <c r="G91" s="332"/>
      <c r="H91" s="332"/>
      <c r="I91" s="332"/>
      <c r="J91" s="332"/>
      <c r="K91" s="340"/>
      <c r="L91" s="340"/>
      <c r="M91" s="340"/>
      <c r="N91" s="340"/>
      <c r="O91" s="401"/>
      <c r="P91" s="346"/>
      <c r="Q91" s="347"/>
      <c r="R91" s="347"/>
      <c r="S91" s="347"/>
      <c r="T91" s="347"/>
      <c r="U91" s="347"/>
      <c r="V91"/>
      <c r="W91"/>
      <c r="X91"/>
      <c r="Y91"/>
      <c r="Z91"/>
      <c r="AA91"/>
      <c r="AB91"/>
      <c r="AC91"/>
    </row>
    <row r="92" spans="1:29">
      <c r="A92" s="445" t="s">
        <v>579</v>
      </c>
      <c r="B92" s="332">
        <f t="shared" ref="B92:O92" si="35">SUM(B24:B28)</f>
        <v>6500000</v>
      </c>
      <c r="C92" s="332">
        <f t="shared" si="35"/>
        <v>5850000</v>
      </c>
      <c r="D92" s="332">
        <f t="shared" si="35"/>
        <v>9100000</v>
      </c>
      <c r="E92" s="332">
        <f t="shared" si="35"/>
        <v>9000000</v>
      </c>
      <c r="F92" s="332">
        <f t="shared" si="35"/>
        <v>14000000</v>
      </c>
      <c r="G92" s="332">
        <f t="shared" si="35"/>
        <v>23205000</v>
      </c>
      <c r="H92" s="332">
        <f t="shared" si="35"/>
        <v>143871000</v>
      </c>
      <c r="I92" s="332">
        <f t="shared" si="35"/>
        <v>85858500</v>
      </c>
      <c r="J92" s="332">
        <f t="shared" si="35"/>
        <v>65000000</v>
      </c>
      <c r="K92" s="332">
        <f t="shared" si="35"/>
        <v>10400000</v>
      </c>
      <c r="L92" s="332">
        <f t="shared" si="35"/>
        <v>90000000</v>
      </c>
      <c r="M92" s="332">
        <f t="shared" si="35"/>
        <v>7500000</v>
      </c>
      <c r="N92" s="332">
        <f t="shared" si="35"/>
        <v>9000000</v>
      </c>
      <c r="O92" s="400">
        <f t="shared" si="35"/>
        <v>4000000</v>
      </c>
      <c r="P92" s="346">
        <f t="shared" ref="P92:P102" si="36">SUM(B92:O92)</f>
        <v>483284500</v>
      </c>
      <c r="Q92" s="347"/>
      <c r="R92" s="347"/>
      <c r="S92" s="347"/>
      <c r="T92" s="347"/>
      <c r="U92" s="347"/>
      <c r="V92"/>
      <c r="W92"/>
      <c r="X92"/>
      <c r="Y92"/>
      <c r="Z92"/>
      <c r="AA92"/>
      <c r="AB92"/>
      <c r="AC92"/>
    </row>
    <row r="93" spans="1:29">
      <c r="A93" s="445" t="s">
        <v>580</v>
      </c>
      <c r="B93" s="332">
        <f t="shared" ref="B93:O93" si="37">SUM(B24:B27,B40,B41)</f>
        <v>7352312</v>
      </c>
      <c r="C93" s="332">
        <f t="shared" si="37"/>
        <v>6897090</v>
      </c>
      <c r="D93" s="332">
        <f t="shared" si="37"/>
        <v>9100000</v>
      </c>
      <c r="E93" s="332">
        <f t="shared" si="37"/>
        <v>9949701</v>
      </c>
      <c r="F93" s="332">
        <f t="shared" si="37"/>
        <v>14657534</v>
      </c>
      <c r="G93" s="332">
        <f t="shared" si="37"/>
        <v>23205000</v>
      </c>
      <c r="H93" s="332">
        <f t="shared" si="37"/>
        <v>150550639</v>
      </c>
      <c r="I93" s="332">
        <f t="shared" si="37"/>
        <v>85858500</v>
      </c>
      <c r="J93" s="332">
        <f t="shared" si="37"/>
        <v>65000000</v>
      </c>
      <c r="K93" s="332">
        <f t="shared" si="37"/>
        <v>10400000</v>
      </c>
      <c r="L93" s="332">
        <f t="shared" si="37"/>
        <v>90000000</v>
      </c>
      <c r="M93" s="332">
        <f t="shared" si="37"/>
        <v>7500000</v>
      </c>
      <c r="N93" s="332">
        <f t="shared" si="37"/>
        <v>9000000</v>
      </c>
      <c r="O93" s="332">
        <f t="shared" si="37"/>
        <v>4000000</v>
      </c>
      <c r="P93" s="346">
        <f t="shared" si="36"/>
        <v>493470776</v>
      </c>
      <c r="Q93" s="347"/>
      <c r="R93" s="347"/>
      <c r="S93" s="347"/>
      <c r="T93" s="347"/>
      <c r="U93" s="347"/>
      <c r="V93"/>
      <c r="W93"/>
      <c r="X93"/>
      <c r="Y93"/>
      <c r="Z93"/>
      <c r="AA93"/>
      <c r="AB93"/>
      <c r="AC93"/>
    </row>
    <row r="94" spans="1:29">
      <c r="A94" s="445" t="s">
        <v>581</v>
      </c>
      <c r="B94" s="332">
        <f t="shared" ref="B94:O94" si="38">IF(B14&gt;B15/2,IF(OR(B18="A",B18="B"),SUM(B134,B136,B137,B139),B149))</f>
        <v>6500000</v>
      </c>
      <c r="C94" s="332">
        <f t="shared" si="38"/>
        <v>5850000</v>
      </c>
      <c r="D94" s="332">
        <f t="shared" si="38"/>
        <v>9100000</v>
      </c>
      <c r="E94" s="332">
        <f t="shared" si="38"/>
        <v>9000000</v>
      </c>
      <c r="F94" s="332">
        <f t="shared" si="38"/>
        <v>14000000</v>
      </c>
      <c r="G94" s="332">
        <f t="shared" si="38"/>
        <v>0</v>
      </c>
      <c r="H94" s="332">
        <f t="shared" si="38"/>
        <v>145700000</v>
      </c>
      <c r="I94" s="332">
        <f t="shared" si="38"/>
        <v>86950000</v>
      </c>
      <c r="J94" s="332">
        <f t="shared" si="38"/>
        <v>65000000</v>
      </c>
      <c r="K94" s="332">
        <f t="shared" si="38"/>
        <v>10400000</v>
      </c>
      <c r="L94" s="332">
        <f t="shared" si="38"/>
        <v>90000000</v>
      </c>
      <c r="M94" s="332">
        <f t="shared" si="38"/>
        <v>7500000</v>
      </c>
      <c r="N94" s="332">
        <f t="shared" si="38"/>
        <v>9000000</v>
      </c>
      <c r="O94" s="400">
        <f t="shared" si="38"/>
        <v>0</v>
      </c>
      <c r="P94" s="346">
        <f t="shared" si="36"/>
        <v>459000000</v>
      </c>
      <c r="Q94" s="347"/>
      <c r="R94" s="347"/>
      <c r="S94" s="347"/>
      <c r="T94" s="347"/>
      <c r="U94" s="347"/>
    </row>
    <row r="95" spans="1:29">
      <c r="A95" s="412" t="s">
        <v>586</v>
      </c>
      <c r="B95" s="332">
        <f t="shared" ref="B95:O95" si="39">IF(OR(B18="A",B18="B"),SUM(B148,B136,B137,B140,B141,B139),SUM(B148,B139)*$B$4)</f>
        <v>6500000</v>
      </c>
      <c r="C95" s="332">
        <f t="shared" si="39"/>
        <v>5850000</v>
      </c>
      <c r="D95" s="332">
        <f t="shared" si="39"/>
        <v>9100000</v>
      </c>
      <c r="E95" s="332">
        <f t="shared" si="39"/>
        <v>9000000</v>
      </c>
      <c r="F95" s="332">
        <f t="shared" si="39"/>
        <v>14000000</v>
      </c>
      <c r="G95" s="332">
        <f t="shared" si="39"/>
        <v>0</v>
      </c>
      <c r="H95" s="332">
        <f t="shared" si="39"/>
        <v>109063500</v>
      </c>
      <c r="I95" s="332">
        <f t="shared" si="39"/>
        <v>85858500</v>
      </c>
      <c r="J95" s="332">
        <f t="shared" si="39"/>
        <v>65000000</v>
      </c>
      <c r="K95" s="332">
        <f t="shared" si="39"/>
        <v>10400000</v>
      </c>
      <c r="L95" s="332">
        <f t="shared" si="39"/>
        <v>90000000</v>
      </c>
      <c r="M95" s="332">
        <f t="shared" si="39"/>
        <v>7500000</v>
      </c>
      <c r="N95" s="332">
        <f t="shared" si="39"/>
        <v>9000000</v>
      </c>
      <c r="O95" s="400">
        <f t="shared" si="39"/>
        <v>0</v>
      </c>
      <c r="P95" s="346">
        <f t="shared" si="36"/>
        <v>421272000</v>
      </c>
      <c r="Q95" s="347"/>
      <c r="R95" s="347"/>
      <c r="S95" s="347"/>
      <c r="T95" s="347"/>
      <c r="U95" s="347"/>
    </row>
    <row r="96" spans="1:29">
      <c r="A96" s="412" t="s">
        <v>483</v>
      </c>
      <c r="B96" s="332">
        <f>ROUND('UAT3-Mar'!B77/3,0)</f>
        <v>9033333</v>
      </c>
      <c r="C96" s="332">
        <f>ROUND('UAT3-Mar'!C77/3,0)</f>
        <v>8870000</v>
      </c>
      <c r="D96" s="332">
        <f>ROUND('UAT3-Mar'!D77/3,0)</f>
        <v>12120000</v>
      </c>
      <c r="E96" s="332">
        <f>ROUND('UAT3-Mar'!E77/3,0)</f>
        <v>10200000</v>
      </c>
      <c r="F96" s="332">
        <f>ROUND('UAT3-Mar'!F77/3,0)</f>
        <v>15200000</v>
      </c>
      <c r="G96" s="332">
        <f>ROUND('UAT3-Mar'!G77/3,0)</f>
        <v>0</v>
      </c>
      <c r="H96" s="332">
        <f>ROUND('UAT3-Mar'!H77/3,0)</f>
        <v>137683000</v>
      </c>
      <c r="I96" s="332">
        <f>ROUND('UAT3-Mar'!I77/3,0)</f>
        <v>91040950</v>
      </c>
      <c r="J96" s="332">
        <f>ROUND('UAT3-Mar'!J77/3,0)</f>
        <v>65000000</v>
      </c>
      <c r="K96" s="332">
        <f>ROUND('UAT3-Mar'!K77/3,0)</f>
        <v>10886667</v>
      </c>
      <c r="L96" s="332">
        <f>ROUND('UAT3-Mar'!L77/3,0)</f>
        <v>90000000</v>
      </c>
      <c r="M96" s="332">
        <f>ROUND('UAT3-Mar'!M77/3,0)</f>
        <v>7500000</v>
      </c>
      <c r="N96" s="332">
        <f>ROUND('UAT3-Mar'!N77/3,0)</f>
        <v>9000000</v>
      </c>
      <c r="O96" s="400">
        <f>ROUND('UAT3-Mar'!O77/3,0)</f>
        <v>0</v>
      </c>
      <c r="P96" s="346">
        <f t="shared" si="36"/>
        <v>466533950</v>
      </c>
      <c r="Q96" s="347"/>
      <c r="R96" s="347"/>
      <c r="S96" s="347"/>
      <c r="T96" s="347"/>
      <c r="U96" s="347"/>
    </row>
    <row r="97" spans="1:21">
      <c r="A97" s="445" t="s">
        <v>486</v>
      </c>
      <c r="B97" s="332">
        <f>B93</f>
        <v>7352312</v>
      </c>
      <c r="C97" s="332">
        <f t="shared" ref="C97:O97" si="40">C93</f>
        <v>6897090</v>
      </c>
      <c r="D97" s="332">
        <f t="shared" si="40"/>
        <v>9100000</v>
      </c>
      <c r="E97" s="332">
        <f t="shared" si="40"/>
        <v>9949701</v>
      </c>
      <c r="F97" s="332">
        <f t="shared" si="40"/>
        <v>14657534</v>
      </c>
      <c r="G97" s="332">
        <f t="shared" si="40"/>
        <v>23205000</v>
      </c>
      <c r="H97" s="332">
        <f t="shared" si="40"/>
        <v>150550639</v>
      </c>
      <c r="I97" s="332">
        <f t="shared" si="40"/>
        <v>85858500</v>
      </c>
      <c r="J97" s="332">
        <f t="shared" si="40"/>
        <v>65000000</v>
      </c>
      <c r="K97" s="332">
        <f t="shared" si="40"/>
        <v>10400000</v>
      </c>
      <c r="L97" s="332">
        <f t="shared" si="40"/>
        <v>90000000</v>
      </c>
      <c r="M97" s="332">
        <f t="shared" si="40"/>
        <v>7500000</v>
      </c>
      <c r="N97" s="332">
        <f t="shared" si="40"/>
        <v>9000000</v>
      </c>
      <c r="O97" s="400">
        <f t="shared" si="40"/>
        <v>4000000</v>
      </c>
      <c r="P97" s="346">
        <f t="shared" si="36"/>
        <v>493470776</v>
      </c>
      <c r="Q97" s="347"/>
      <c r="R97" s="347"/>
      <c r="S97" s="347"/>
      <c r="T97" s="347"/>
      <c r="U97" s="347"/>
    </row>
    <row r="98" spans="1:21">
      <c r="A98" s="445" t="s">
        <v>607</v>
      </c>
      <c r="B98" s="332">
        <f t="shared" ref="B98:O98" si="41">SUM(B47:B49)</f>
        <v>682500</v>
      </c>
      <c r="C98" s="332">
        <f t="shared" si="41"/>
        <v>614250</v>
      </c>
      <c r="D98" s="332">
        <f t="shared" si="41"/>
        <v>227500</v>
      </c>
      <c r="E98" s="332">
        <f t="shared" si="41"/>
        <v>945000</v>
      </c>
      <c r="F98" s="332">
        <f t="shared" si="41"/>
        <v>0</v>
      </c>
      <c r="G98" s="332">
        <f t="shared" si="41"/>
        <v>0</v>
      </c>
      <c r="H98" s="332">
        <f t="shared" si="41"/>
        <v>447000</v>
      </c>
      <c r="I98" s="332">
        <f t="shared" si="41"/>
        <v>447000</v>
      </c>
      <c r="J98" s="332">
        <f t="shared" si="41"/>
        <v>3481000</v>
      </c>
      <c r="K98" s="332">
        <f t="shared" si="41"/>
        <v>0</v>
      </c>
      <c r="L98" s="332">
        <f t="shared" si="41"/>
        <v>3667000</v>
      </c>
      <c r="M98" s="332">
        <f t="shared" si="41"/>
        <v>0</v>
      </c>
      <c r="N98" s="332">
        <f t="shared" si="41"/>
        <v>0</v>
      </c>
      <c r="O98" s="400">
        <f t="shared" si="41"/>
        <v>0</v>
      </c>
      <c r="P98" s="346">
        <f t="shared" si="36"/>
        <v>10511250</v>
      </c>
      <c r="Q98" s="347"/>
      <c r="R98" s="347"/>
      <c r="S98" s="347"/>
      <c r="T98" s="347"/>
      <c r="U98" s="347"/>
    </row>
    <row r="99" spans="1:21">
      <c r="A99" s="445" t="s">
        <v>902</v>
      </c>
      <c r="B99" s="332">
        <f t="shared" ref="B99:O99" si="42">IF(OR(B18="A",B18="C"),B97-B98,B97)</f>
        <v>6669812</v>
      </c>
      <c r="C99" s="332">
        <f t="shared" si="42"/>
        <v>6282840</v>
      </c>
      <c r="D99" s="332">
        <f t="shared" si="42"/>
        <v>8872500</v>
      </c>
      <c r="E99" s="332">
        <f t="shared" si="42"/>
        <v>9949701</v>
      </c>
      <c r="F99" s="332">
        <f t="shared" si="42"/>
        <v>14657534</v>
      </c>
      <c r="G99" s="332">
        <f t="shared" si="42"/>
        <v>23205000</v>
      </c>
      <c r="H99" s="332">
        <f t="shared" si="42"/>
        <v>150550639</v>
      </c>
      <c r="I99" s="332">
        <f t="shared" si="42"/>
        <v>85858500</v>
      </c>
      <c r="J99" s="332">
        <f t="shared" si="42"/>
        <v>61519000</v>
      </c>
      <c r="K99" s="332">
        <f t="shared" si="42"/>
        <v>10400000</v>
      </c>
      <c r="L99" s="332">
        <f t="shared" si="42"/>
        <v>86333000</v>
      </c>
      <c r="M99" s="332">
        <f t="shared" si="42"/>
        <v>7500000</v>
      </c>
      <c r="N99" s="332">
        <f t="shared" si="42"/>
        <v>9000000</v>
      </c>
      <c r="O99" s="400">
        <f t="shared" si="42"/>
        <v>4000000</v>
      </c>
      <c r="P99" s="346">
        <f t="shared" si="36"/>
        <v>484798526</v>
      </c>
      <c r="Q99" s="347"/>
      <c r="R99" s="347"/>
      <c r="S99" s="347"/>
      <c r="T99" s="347"/>
      <c r="U99" s="347"/>
    </row>
    <row r="100" spans="1:21">
      <c r="A100" s="445" t="s">
        <v>903</v>
      </c>
      <c r="B100" s="332">
        <f t="shared" ref="B100:O100" si="43">IF(OR(B18="A",B18="C"),MAX(B99-B21-B20*B19,0),B99)</f>
        <v>0</v>
      </c>
      <c r="C100" s="332">
        <f t="shared" si="43"/>
        <v>0</v>
      </c>
      <c r="D100" s="332">
        <f t="shared" si="43"/>
        <v>0</v>
      </c>
      <c r="E100" s="332">
        <f t="shared" si="43"/>
        <v>9949701</v>
      </c>
      <c r="F100" s="332">
        <f t="shared" si="43"/>
        <v>14657534</v>
      </c>
      <c r="G100" s="332">
        <f t="shared" si="43"/>
        <v>14205000</v>
      </c>
      <c r="H100" s="332">
        <f t="shared" si="43"/>
        <v>150550639</v>
      </c>
      <c r="I100" s="332">
        <f t="shared" si="43"/>
        <v>85858500</v>
      </c>
      <c r="J100" s="332">
        <f t="shared" si="43"/>
        <v>52519000</v>
      </c>
      <c r="K100" s="332">
        <f t="shared" si="43"/>
        <v>1400000</v>
      </c>
      <c r="L100" s="332">
        <f t="shared" si="43"/>
        <v>77333000</v>
      </c>
      <c r="M100" s="332">
        <f t="shared" si="43"/>
        <v>0</v>
      </c>
      <c r="N100" s="332">
        <f t="shared" si="43"/>
        <v>0</v>
      </c>
      <c r="O100" s="400">
        <f t="shared" si="43"/>
        <v>4000000</v>
      </c>
      <c r="P100" s="346">
        <f t="shared" si="36"/>
        <v>410473374</v>
      </c>
      <c r="Q100" s="380"/>
      <c r="R100" s="380"/>
      <c r="S100" s="380"/>
      <c r="T100" s="380"/>
      <c r="U100" s="380"/>
    </row>
    <row r="101" spans="1:21">
      <c r="A101" s="445" t="s">
        <v>906</v>
      </c>
      <c r="B101" s="332">
        <f>IF(OR(B18="A",B18="C"),ROUND(MAX(B100*{5;10;15;20;25;30;35}%-{0;0.25;0.75;1.65;3.25;5.85;9.85}*1000000,0),0),IF(B18="B",IF(B100&lt;2000000,0,ROUND(B100*10%,0)),ROUND(B100*20%,0)))</f>
        <v>0</v>
      </c>
      <c r="C101" s="332">
        <f>IF(OR(C18="A",C18="C"),ROUND(MAX(C100*{5;10;15;20;25;30;35}%-{0;0.25;0.75;1.65;3.25;5.85;9.85}*1000000,0),0),IF(C18="B",IF(C100&lt;2000000,0,ROUND(C100*10%,0)),ROUND(C100*20%,0)))</f>
        <v>0</v>
      </c>
      <c r="D101" s="332">
        <f>IF(OR(D18="A",D18="C"),ROUND(MAX(D100*{5;10;15;20;25;30;35}%-{0;0.25;0.75;1.65;3.25;5.85;9.85}*1000000,0),0),IF(D18="B",IF(D100&lt;2000000,0,ROUND(D100*10%,0)),ROUND(D100*20%,0)))</f>
        <v>0</v>
      </c>
      <c r="E101" s="332">
        <f>IF(OR(E18="A",E18="C"),ROUND(MAX(E100*{5;10;15;20;25;30;35}%-{0;0.25;0.75;1.65;3.25;5.85;9.85}*1000000,0),0),IF(E18="B",IF(E100&lt;2000000,0,ROUND(E100*10%,0)),ROUND(E100*20%,0)))</f>
        <v>994970</v>
      </c>
      <c r="F101" s="332">
        <f>IF(OR(F18="A",F18="C"),ROUND(MAX(F100*{5;10;15;20;25;30;35}%-{0;0.25;0.75;1.65;3.25;5.85;9.85}*1000000,0),0),IF(F18="B",IF(F100&lt;2000000,0,ROUND(F100*10%,0)),ROUND(F100*20%,0)))</f>
        <v>1465753</v>
      </c>
      <c r="G101" s="332">
        <f>IF(OR(G18="A",G18="C"),ROUND(MAX(G100*{5;10;15;20;25;30;35}%-{0;0.25;0.75;1.65;3.25;5.85;9.85}*1000000,0),0),IF(G18="B",IF(G100&lt;2000000,0,ROUND(G100*10%,0)),ROUND(G100*20%,0)))</f>
        <v>1380750</v>
      </c>
      <c r="H101" s="332">
        <f>IF(OR(H18="A",H18="C"),ROUND(MAX(H100*{5;10;15;20;25;30;35}%-{0;0.25;0.75;1.65;3.25;5.85;9.85}*1000000,0),0),IF(H18="B",IF(H100&lt;2000000,0,ROUND(H100*10%,0)),ROUND(H100*20%,0)))</f>
        <v>30110128</v>
      </c>
      <c r="I101" s="332">
        <f>IF(OR(I18="A",I18="C"),ROUND(MAX(I100*{5;10;15;20;25;30;35}%-{0;0.25;0.75;1.65;3.25;5.85;9.85}*1000000,0),0),IF(I18="B",IF(I100&lt;2000000,0,ROUND(I100*10%,0)),ROUND(I100*20%,0)))</f>
        <v>17171700</v>
      </c>
      <c r="J101" s="332">
        <f>IF(OR(J18="A",J18="C"),ROUND(MAX(J100*{5;10;15;20;25;30;35}%-{0;0.25;0.75;1.65;3.25;5.85;9.85}*1000000,0),0),IF(J18="B",IF(J100&lt;2000000,0,ROUND(J100*10%,0)),ROUND(J100*20%,0)))</f>
        <v>9905700</v>
      </c>
      <c r="K101" s="332">
        <f>IF(OR(K18="A",K18="C"),ROUND(MAX(K100*{5;10;15;20;25;30;35}%-{0;0.25;0.75;1.65;3.25;5.85;9.85}*1000000,0),0),IF(K18="B",IF(K100&lt;2000000,0,ROUND(K100*10%,0)),ROUND(K100*20%,0)))</f>
        <v>70000</v>
      </c>
      <c r="L101" s="332">
        <f>IF(OR(L18="A",L18="C"),ROUND(MAX(L100*{5;10;15;20;25;30;35}%-{0;0.25;0.75;1.65;3.25;5.85;9.85}*1000000,0),0),IF(L18="B",IF(L100&lt;2000000,0,ROUND(L100*10%,0)),ROUND(L100*20%,0)))</f>
        <v>17349900</v>
      </c>
      <c r="M101" s="332">
        <f>IF(OR(M18="A",M18="C"),ROUND(MAX(M100*{5;10;15;20;25;30;35}%-{0;0.25;0.75;1.65;3.25;5.85;9.85}*1000000,0),0),IF(M18="B",IF(M100&lt;2000000,0,ROUND(M100*10%,0)),ROUND(M100*20%,0)))</f>
        <v>0</v>
      </c>
      <c r="N101" s="332">
        <f>IF(OR(N18="A",N18="C"),ROUND(MAX(N100*{5;10;15;20;25;30;35}%-{0;0.25;0.75;1.65;3.25;5.85;9.85}*1000000,0),0),IF(N18="B",IF(N100&lt;2000000,0,ROUND(N100*10%,0)),ROUND(N100*20%,0)))</f>
        <v>0</v>
      </c>
      <c r="O101" s="400">
        <f>IF(OR(O18="A",O18="C"),ROUND(MAX(O100*{5;10;15;20;25;30;35}%-{0;0.25;0.75;1.65;3.25;5.85;9.85}*1000000,0),0),IF(O18="B",IF(O100&lt;2000000,0,ROUND(O100*10%,0)),ROUND(O100*20%,0)))</f>
        <v>400000</v>
      </c>
      <c r="P101" s="346">
        <f t="shared" si="36"/>
        <v>78848901</v>
      </c>
      <c r="Q101" s="347"/>
      <c r="R101" s="347"/>
      <c r="S101" s="347"/>
      <c r="T101" s="347"/>
      <c r="U101" s="347"/>
    </row>
    <row r="102" spans="1:21">
      <c r="A102" s="445" t="s">
        <v>917</v>
      </c>
      <c r="B102" s="332">
        <f>B99+'UAT3-Mar'!B109</f>
        <v>52701097</v>
      </c>
      <c r="C102" s="332">
        <f>C99+'UAT3-Mar'!C109</f>
        <v>50701895</v>
      </c>
      <c r="D102" s="332">
        <f>D99+'UAT3-Mar'!D109</f>
        <v>46167499</v>
      </c>
      <c r="E102" s="332">
        <f>E99+'UAT3-Mar'!E109</f>
        <v>123560653</v>
      </c>
      <c r="F102" s="332">
        <f>F99+'UAT3-Mar'!F109</f>
        <v>74939486</v>
      </c>
      <c r="G102" s="332">
        <f>G99+'UAT3-Mar'!G109</f>
        <v>243652500</v>
      </c>
      <c r="H102" s="332">
        <f>H99+'UAT3-Mar'!H109</f>
        <v>659867957</v>
      </c>
      <c r="I102" s="332">
        <f>I99+'UAT3-Mar'!I109</f>
        <v>459955065.86210001</v>
      </c>
      <c r="J102" s="332">
        <f>J99+'UAT3-Mar'!J109</f>
        <v>199225262</v>
      </c>
      <c r="K102" s="332">
        <f>K99+'UAT3-Mar'!K109</f>
        <v>41600000</v>
      </c>
      <c r="L102" s="332">
        <f>L99+'UAT3-Mar'!L109</f>
        <v>349189000</v>
      </c>
      <c r="M102" s="332">
        <f>M99+'UAT3-Mar'!M109</f>
        <v>30000000</v>
      </c>
      <c r="N102" s="332">
        <f>N99+'UAT3-Mar'!N109</f>
        <v>36000000</v>
      </c>
      <c r="O102" s="332">
        <f>O99+'UAT3-Mar'!O109</f>
        <v>14000000</v>
      </c>
      <c r="P102" s="346">
        <f t="shared" si="36"/>
        <v>2381560414.8621001</v>
      </c>
      <c r="Q102" s="347"/>
      <c r="R102" s="347"/>
      <c r="S102" s="347"/>
      <c r="T102" s="347"/>
      <c r="U102" s="347"/>
    </row>
    <row r="103" spans="1:21">
      <c r="A103" s="445" t="s">
        <v>488</v>
      </c>
      <c r="B103" s="332">
        <f>B101+'UAT3-Mar'!B110</f>
        <v>359065</v>
      </c>
      <c r="C103" s="332">
        <f>C101+'UAT3-Mar'!C110</f>
        <v>0</v>
      </c>
      <c r="D103" s="332">
        <f>D101+'UAT3-Mar'!D110</f>
        <v>161125</v>
      </c>
      <c r="E103" s="332">
        <f>E101+'UAT3-Mar'!E110</f>
        <v>12450566</v>
      </c>
      <c r="F103" s="332">
        <f>F101+'UAT3-Mar'!F110</f>
        <v>7493948</v>
      </c>
      <c r="G103" s="332">
        <f>G101+'UAT3-Mar'!G110</f>
        <v>54865625</v>
      </c>
      <c r="H103" s="332">
        <f>H101+'UAT3-Mar'!H110</f>
        <v>132056992</v>
      </c>
      <c r="I103" s="332">
        <f>I101+'UAT3-Mar'!I110</f>
        <v>92074413</v>
      </c>
      <c r="J103" s="332">
        <f>J101+'UAT3-Mar'!J110</f>
        <v>34117579</v>
      </c>
      <c r="K103" s="332">
        <f>K101+'UAT3-Mar'!K110</f>
        <v>280000</v>
      </c>
      <c r="L103" s="332">
        <f>L101+'UAT3-Mar'!L110</f>
        <v>69513600</v>
      </c>
      <c r="M103" s="332">
        <f>M101+'UAT3-Mar'!M110</f>
        <v>0</v>
      </c>
      <c r="N103" s="332">
        <f>N101+'UAT3-Mar'!N110</f>
        <v>0</v>
      </c>
      <c r="O103" s="332">
        <f>O101+'UAT3-Mar'!O110</f>
        <v>1400000</v>
      </c>
      <c r="P103" s="346">
        <f>SUM(B103:O103)</f>
        <v>404772913</v>
      </c>
      <c r="Q103" s="347"/>
      <c r="R103" s="347"/>
      <c r="S103" s="347"/>
      <c r="T103" s="347"/>
      <c r="U103" s="347"/>
    </row>
    <row r="104" spans="1:21">
      <c r="A104" s="445" t="s">
        <v>489</v>
      </c>
      <c r="B104" s="332">
        <f>B98+'UAT3-Mar'!B111</f>
        <v>3465000</v>
      </c>
      <c r="C104" s="332">
        <f>C98+'UAT3-Mar'!C111</f>
        <v>3192000</v>
      </c>
      <c r="D104" s="332">
        <f>D98+'UAT3-Mar'!D111</f>
        <v>1010000</v>
      </c>
      <c r="E104" s="332">
        <f>E98+'UAT3-Mar'!E111</f>
        <v>3780000</v>
      </c>
      <c r="F104" s="332">
        <f>F98+'UAT3-Mar'!F111</f>
        <v>0</v>
      </c>
      <c r="G104" s="332">
        <f>G98+'UAT3-Mar'!G111</f>
        <v>0</v>
      </c>
      <c r="H104" s="332">
        <f>H98+'UAT3-Mar'!H111</f>
        <v>1728000</v>
      </c>
      <c r="I104" s="332">
        <f>I98+'UAT3-Mar'!I111</f>
        <v>1311000</v>
      </c>
      <c r="J104" s="332">
        <f>J98+'UAT3-Mar'!J111</f>
        <v>10253000</v>
      </c>
      <c r="K104" s="332">
        <f>K98+'UAT3-Mar'!K111</f>
        <v>0</v>
      </c>
      <c r="L104" s="332">
        <f>L98+'UAT3-Mar'!L111</f>
        <v>14288000</v>
      </c>
      <c r="M104" s="332">
        <f>M98+'UAT3-Mar'!M111</f>
        <v>0</v>
      </c>
      <c r="N104" s="332">
        <f>N98+'UAT3-Mar'!N111</f>
        <v>0</v>
      </c>
      <c r="O104" s="400">
        <f>O98+'UAT3-Mar'!O111</f>
        <v>0</v>
      </c>
      <c r="P104" s="346">
        <f>SUM(B104:O104)</f>
        <v>39027000</v>
      </c>
      <c r="Q104" s="347"/>
      <c r="R104" s="347"/>
      <c r="S104" s="347"/>
      <c r="T104" s="347"/>
      <c r="U104" s="347"/>
    </row>
    <row r="105" spans="1:21">
      <c r="A105" s="445"/>
      <c r="B105" s="332"/>
      <c r="C105" s="332"/>
      <c r="D105" s="332"/>
      <c r="E105" s="332"/>
      <c r="F105" s="332"/>
      <c r="G105" s="332"/>
      <c r="H105" s="332"/>
      <c r="I105" s="332"/>
      <c r="J105" s="332"/>
      <c r="K105" s="332"/>
      <c r="L105" s="332"/>
      <c r="M105" s="332"/>
      <c r="N105" s="332"/>
      <c r="O105" s="400"/>
      <c r="P105" s="346"/>
      <c r="Q105" s="347"/>
      <c r="R105" s="347"/>
      <c r="S105" s="347"/>
      <c r="T105" s="347"/>
      <c r="U105" s="347"/>
    </row>
    <row r="106" spans="1:21" ht="15.6">
      <c r="A106" s="411" t="s">
        <v>915</v>
      </c>
      <c r="B106" s="332"/>
      <c r="C106" s="332"/>
      <c r="D106" s="332"/>
      <c r="E106" s="332"/>
      <c r="F106" s="332"/>
      <c r="G106" s="332"/>
      <c r="H106" s="332"/>
      <c r="I106" s="332"/>
      <c r="J106" s="332"/>
      <c r="K106" s="332"/>
      <c r="L106" s="332"/>
      <c r="M106" s="332"/>
      <c r="N106" s="332"/>
      <c r="O106" s="400"/>
      <c r="P106" s="346"/>
      <c r="Q106" s="347"/>
      <c r="R106" s="347"/>
      <c r="S106" s="347"/>
      <c r="T106" s="347"/>
      <c r="U106" s="347"/>
    </row>
    <row r="107" spans="1:21">
      <c r="A107" s="445" t="s">
        <v>912</v>
      </c>
      <c r="B107" s="332">
        <f t="shared" ref="B107:O107" si="44">B100-B101+SUM(B34:B37)</f>
        <v>26000000</v>
      </c>
      <c r="C107" s="332">
        <f t="shared" si="44"/>
        <v>0</v>
      </c>
      <c r="D107" s="332">
        <f t="shared" si="44"/>
        <v>0</v>
      </c>
      <c r="E107" s="332">
        <f t="shared" si="44"/>
        <v>34954731</v>
      </c>
      <c r="F107" s="332">
        <f t="shared" si="44"/>
        <v>13191781</v>
      </c>
      <c r="G107" s="332">
        <f t="shared" si="44"/>
        <v>12824250</v>
      </c>
      <c r="H107" s="332">
        <f t="shared" si="44"/>
        <v>120440511</v>
      </c>
      <c r="I107" s="332">
        <f t="shared" si="44"/>
        <v>94686800</v>
      </c>
      <c r="J107" s="332">
        <f t="shared" si="44"/>
        <v>42613300</v>
      </c>
      <c r="K107" s="332">
        <f t="shared" si="44"/>
        <v>27330000</v>
      </c>
      <c r="L107" s="332">
        <f t="shared" si="44"/>
        <v>59983100</v>
      </c>
      <c r="M107" s="332">
        <f t="shared" si="44"/>
        <v>0</v>
      </c>
      <c r="N107" s="332">
        <f t="shared" si="44"/>
        <v>0</v>
      </c>
      <c r="O107" s="400">
        <f t="shared" si="44"/>
        <v>3600000</v>
      </c>
      <c r="P107" s="346">
        <f t="shared" ref="P107:P111" si="45">SUM(B107:O107)</f>
        <v>435624473</v>
      </c>
      <c r="Q107" s="347"/>
      <c r="R107" s="347"/>
      <c r="S107" s="347"/>
      <c r="T107" s="347"/>
      <c r="U107" s="347"/>
    </row>
    <row r="108" spans="1:21">
      <c r="A108" s="445" t="s">
        <v>913</v>
      </c>
      <c r="B108" s="332">
        <f>IF(OR(B18="A",B18="C"),ROUND(MAX((B107-{0;0.25;0.75;1.65;3.25;5.85;9.85}*1000000)/(1-{5;10;15;20;25;30;35}%),0),0),IF(B18="B",B107/(1-10%),B107/(1-20%)))</f>
        <v>30437500</v>
      </c>
      <c r="C108" s="332">
        <f>IF(OR(C18="A",C18="C"),ROUND(MAX((C107-{0;0.25;0.75;1.65;3.25;5.85;9.85}*1000000)/(1-{5;10;15;20;25;30;35}%),0),0),IF(C18="B",C107/(1-10%),C107/(1-20%)))</f>
        <v>0</v>
      </c>
      <c r="D108" s="332">
        <f>IF(OR(D18="A",D18="C"),ROUND(MAX((D107-{0;0.25;0.75;1.65;3.25;5.85;9.85}*1000000)/(1-{5;10;15;20;25;30;35}%),0),0),IF(D18="B",D107/(1-10%),D107/(1-20%)))</f>
        <v>0</v>
      </c>
      <c r="E108" s="332">
        <f>IF(OR(E18="A",E18="C"),ROUND(MAX((E107-{0;0.25;0.75;1.65;3.25;5.85;9.85}*1000000)/(1-{5;10;15;20;25;30;35}%),0),0),IF(E18="B",E107/(1-10%),E107/(1-20%)))</f>
        <v>38838590</v>
      </c>
      <c r="F108" s="332">
        <f>IF(OR(F18="A",F18="C"),ROUND(MAX((F107-{0;0.25;0.75;1.65;3.25;5.85;9.85}*1000000)/(1-{5;10;15;20;25;30;35}%),0),0),IF(F18="B",F107/(1-10%),F107/(1-20%)))</f>
        <v>14657534.444444444</v>
      </c>
      <c r="G108" s="332">
        <f>IF(OR(G18="A",G18="C"),ROUND(MAX((G107-{0;0.25;0.75;1.65;3.25;5.85;9.85}*1000000)/(1-{5;10;15;20;25;30;35}%),0),0),IF(G18="B",G107/(1-10%),G107/(1-20%)))</f>
        <v>14205000</v>
      </c>
      <c r="H108" s="332">
        <f>IF(OR(H18="A",H18="C"),ROUND(MAX((H107-{0;0.25;0.75;1.65;3.25;5.85;9.85}*1000000)/(1-{5;10;15;20;25;30;35}%),0),0),IF(H18="B",H107/(1-10%),H107/(1-20%)))</f>
        <v>150550638.75</v>
      </c>
      <c r="I108" s="332">
        <f>IF(OR(I18="A",I18="C"),ROUND(MAX((I107-{0;0.25;0.75;1.65;3.25;5.85;9.85}*1000000)/(1-{5;10;15;20;25;30;35}%),0),0),IF(I18="B",I107/(1-10%),I107/(1-20%)))</f>
        <v>118358500</v>
      </c>
      <c r="J108" s="332">
        <f>IF(OR(J18="A",J18="C"),ROUND(MAX((J107-{0;0.25;0.75;1.65;3.25;5.85;9.85}*1000000)/(1-{5;10;15;20;25;30;35}%),0),0),IF(J18="B",J107/(1-10%),J107/(1-20%)))</f>
        <v>52519000</v>
      </c>
      <c r="K108" s="332">
        <f>IF(OR(K18="A",K18="C"),ROUND(MAX((K107-{0;0.25;0.75;1.65;3.25;5.85;9.85}*1000000)/(1-{5;10;15;20;25;30;35}%),0),0),IF(K18="B",K107/(1-10%),K107/(1-20%)))</f>
        <v>32106667</v>
      </c>
      <c r="L108" s="332">
        <f>IF(OR(L18="A",L18="C"),ROUND(MAX((L107-{0;0.25;0.75;1.65;3.25;5.85;9.85}*1000000)/(1-{5;10;15;20;25;30;35}%),0),0),IF(L18="B",L107/(1-10%),L107/(1-20%)))</f>
        <v>77333000</v>
      </c>
      <c r="M108" s="332">
        <f>IF(OR(M18="A",M18="C"),ROUND(MAX((M107-{0;0.25;0.75;1.65;3.25;5.85;9.85}*1000000)/(1-{5;10;15;20;25;30;35}%),0),0),IF(M18="B",M107/(1-10%),M107/(1-20%)))</f>
        <v>0</v>
      </c>
      <c r="N108" s="332">
        <f>IF(OR(N18="A",N18="C"),ROUND(MAX((N107-{0;0.25;0.75;1.65;3.25;5.85;9.85}*1000000)/(1-{5;10;15;20;25;30;35}%),0),0),IF(N18="B",N107/(1-10%),N107/(1-20%)))</f>
        <v>0</v>
      </c>
      <c r="O108" s="400">
        <f>IF(OR(O18="A",O18="C"),ROUND(MAX((O107-{0;0.25;0.75;1.65;3.25;5.85;9.85}*1000000)/(1-{5;10;15;20;25;30;35}%),0),0),IF(O18="B",O107/(1-10%),O107/(1-20%)))</f>
        <v>4000000</v>
      </c>
      <c r="P108" s="346">
        <f t="shared" si="45"/>
        <v>533006430.19444442</v>
      </c>
      <c r="Q108" s="347"/>
      <c r="R108" s="347"/>
      <c r="S108" s="347"/>
      <c r="T108" s="347"/>
      <c r="U108" s="347"/>
    </row>
    <row r="109" spans="1:21">
      <c r="A109" s="445" t="s">
        <v>914</v>
      </c>
      <c r="B109" s="332">
        <f t="shared" ref="B109:O109" si="46">IF(OR(B18="A",B18="C"),IF(B108=0,0,B108+B98+B19*B20+B21),B108)</f>
        <v>43720000</v>
      </c>
      <c r="C109" s="332">
        <f t="shared" si="46"/>
        <v>0</v>
      </c>
      <c r="D109" s="332">
        <f t="shared" si="46"/>
        <v>0</v>
      </c>
      <c r="E109" s="332">
        <f t="shared" si="46"/>
        <v>38838590</v>
      </c>
      <c r="F109" s="332">
        <f t="shared" si="46"/>
        <v>14657534.444444444</v>
      </c>
      <c r="G109" s="332">
        <f t="shared" si="46"/>
        <v>23205000</v>
      </c>
      <c r="H109" s="332">
        <f t="shared" si="46"/>
        <v>150550638.75</v>
      </c>
      <c r="I109" s="332">
        <f t="shared" si="46"/>
        <v>118358500</v>
      </c>
      <c r="J109" s="332">
        <f t="shared" si="46"/>
        <v>65000000</v>
      </c>
      <c r="K109" s="332">
        <f t="shared" si="46"/>
        <v>41106667</v>
      </c>
      <c r="L109" s="332">
        <f t="shared" si="46"/>
        <v>90000000</v>
      </c>
      <c r="M109" s="332">
        <f t="shared" si="46"/>
        <v>0</v>
      </c>
      <c r="N109" s="332">
        <f t="shared" si="46"/>
        <v>0</v>
      </c>
      <c r="O109" s="332">
        <f t="shared" si="46"/>
        <v>4000000</v>
      </c>
      <c r="P109" s="346">
        <f t="shared" si="45"/>
        <v>589436930.19444442</v>
      </c>
      <c r="Q109" s="347"/>
      <c r="R109" s="347"/>
      <c r="S109" s="347"/>
      <c r="T109" s="347"/>
      <c r="U109" s="347"/>
    </row>
    <row r="110" spans="1:21">
      <c r="A110" s="445" t="s">
        <v>904</v>
      </c>
      <c r="B110" s="332">
        <f>IF(OR(B18="A",B18="C"),ROUND(MAX(B108*{5;10;15;20;25;30;35}%-{0;0.25;0.75;1.65;3.25;5.85;9.85}*1000000,0),0),IF(B18="B",IF(B108&lt;2000000,0,ROUND(B108*10%,0)),ROUND(B108*20%,0)))</f>
        <v>4437500</v>
      </c>
      <c r="C110" s="332">
        <f>IF(OR(C18="A",C18="C"),ROUND(MAX(C108*{5;10;15;20;25;30;35}%-{0;0.25;0.75;1.65;3.25;5.85;9.85}*1000000,0),0),IF(C18="B",IF(C108&lt;2000000,0,ROUND(C108*10%,0)),ROUND(C108*20%,0)))</f>
        <v>0</v>
      </c>
      <c r="D110" s="332">
        <f>IF(OR(D18="A",D18="C"),ROUND(MAX(D108*{5;10;15;20;25;30;35}%-{0;0.25;0.75;1.65;3.25;5.85;9.85}*1000000,0),0),IF(D18="B",IF(D108&lt;2000000,0,ROUND(D108*10%,0)),ROUND(D108*20%,0)))</f>
        <v>0</v>
      </c>
      <c r="E110" s="332">
        <f>IF(OR(E18="A",E18="C"),ROUND(MAX(E108*{5;10;15;20;25;30;35}%-{0;0.25;0.75;1.65;3.25;5.85;9.85}*1000000,0),0),IF(E18="B",IF(E108&lt;2000000,0,ROUND(E108*10%,0)),ROUND(E108*20%,0)))</f>
        <v>3883859</v>
      </c>
      <c r="F110" s="332">
        <f>IF(OR(F18="A",F18="C"),ROUND(MAX(F108*{5;10;15;20;25;30;35}%-{0;0.25;0.75;1.65;3.25;5.85;9.85}*1000000,0),0),IF(F18="B",IF(F108&lt;2000000,0,ROUND(F108*10%,0)),ROUND(F108*20%,0)))</f>
        <v>1465753</v>
      </c>
      <c r="G110" s="332">
        <f>IF(OR(G18="A",G18="C"),ROUND(MAX(G108*{5;10;15;20;25;30;35}%-{0;0.25;0.75;1.65;3.25;5.85;9.85}*1000000,0),0),IF(G18="B",IF(G108&lt;2000000,0,ROUND(G108*10%,0)),ROUND(G108*20%,0)))</f>
        <v>1380750</v>
      </c>
      <c r="H110" s="332">
        <f>IF(OR(H18="A",H18="C"),ROUND(MAX(H108*{5;10;15;20;25;30;35}%-{0;0.25;0.75;1.65;3.25;5.85;9.85}*1000000,0),0),IF(H18="B",IF(H108&lt;2000000,0,ROUND(H108*10%,0)),ROUND(H108*20%,0)))</f>
        <v>30110128</v>
      </c>
      <c r="I110" s="332">
        <f>IF(OR(I18="A",I18="C"),ROUND(MAX(I108*{5;10;15;20;25;30;35}%-{0;0.25;0.75;1.65;3.25;5.85;9.85}*1000000,0),0),IF(I18="B",IF(I108&lt;2000000,0,ROUND(I108*10%,0)),ROUND(I108*20%,0)))</f>
        <v>23671700</v>
      </c>
      <c r="J110" s="332">
        <f>IF(OR(J18="A",J18="C"),ROUND(MAX(J108*{5;10;15;20;25;30;35}%-{0;0.25;0.75;1.65;3.25;5.85;9.85}*1000000,0),0),IF(J18="B",IF(J108&lt;2000000,0,ROUND(J108*10%,0)),ROUND(J108*20%,0)))</f>
        <v>9905700</v>
      </c>
      <c r="K110" s="332">
        <f>IF(OR(K18="A",K18="C"),ROUND(MAX(K108*{5;10;15;20;25;30;35}%-{0;0.25;0.75;1.65;3.25;5.85;9.85}*1000000,0),0),IF(K18="B",IF(K108&lt;2000000,0,ROUND(K108*10%,0)),ROUND(K108*20%,0)))</f>
        <v>4776667</v>
      </c>
      <c r="L110" s="332">
        <f>IF(OR(L18="A",L18="C"),ROUND(MAX(L108*{5;10;15;20;25;30;35}%-{0;0.25;0.75;1.65;3.25;5.85;9.85}*1000000,0),0),IF(L18="B",IF(L108&lt;2000000,0,ROUND(L108*10%,0)),ROUND(L108*20%,0)))</f>
        <v>17349900</v>
      </c>
      <c r="M110" s="332">
        <f>IF(OR(M18="A",M18="C"),ROUND(MAX(M108*{5;10;15;20;25;30;35}%-{0;0.25;0.75;1.65;3.25;5.85;9.85}*1000000,0),0),IF(M18="B",IF(M108&lt;2000000,0,ROUND(M108*10%,0)),ROUND(M108*20%,0)))</f>
        <v>0</v>
      </c>
      <c r="N110" s="332">
        <f>IF(OR(N18="A",N18="C"),ROUND(MAX(N108*{5;10;15;20;25;30;35}%-{0;0.25;0.75;1.65;3.25;5.85;9.85}*1000000,0),0),IF(N18="B",IF(N108&lt;2000000,0,ROUND(N108*10%,0)),ROUND(N108*20%,0)))</f>
        <v>0</v>
      </c>
      <c r="O110" s="400">
        <f>IF(OR(O18="A",O18="C"),ROUND(MAX(O108*{5;10;15;20;25;30;35}%-{0;0.25;0.75;1.65;3.25;5.85;9.85}*1000000,0),0),IF(O18="B",IF(O108&lt;2000000,0,ROUND(O108*10%,0)),ROUND(O108*20%,0)))</f>
        <v>400000</v>
      </c>
      <c r="P110" s="346">
        <f t="shared" si="45"/>
        <v>97381957</v>
      </c>
      <c r="Q110" s="347"/>
      <c r="R110" s="347"/>
      <c r="S110" s="347"/>
      <c r="T110" s="347"/>
      <c r="U110" s="347"/>
    </row>
    <row r="111" spans="1:21">
      <c r="A111" s="445" t="s">
        <v>905</v>
      </c>
      <c r="B111" s="332">
        <f t="shared" ref="B111:O111" si="47">B110-B101</f>
        <v>4437500</v>
      </c>
      <c r="C111" s="332">
        <f t="shared" si="47"/>
        <v>0</v>
      </c>
      <c r="D111" s="332">
        <f t="shared" si="47"/>
        <v>0</v>
      </c>
      <c r="E111" s="332">
        <f t="shared" si="47"/>
        <v>2888889</v>
      </c>
      <c r="F111" s="332">
        <f t="shared" si="47"/>
        <v>0</v>
      </c>
      <c r="G111" s="332">
        <f t="shared" si="47"/>
        <v>0</v>
      </c>
      <c r="H111" s="332">
        <f t="shared" si="47"/>
        <v>0</v>
      </c>
      <c r="I111" s="332">
        <f t="shared" si="47"/>
        <v>6500000</v>
      </c>
      <c r="J111" s="332">
        <f t="shared" si="47"/>
        <v>0</v>
      </c>
      <c r="K111" s="332">
        <f t="shared" si="47"/>
        <v>4706667</v>
      </c>
      <c r="L111" s="332">
        <f t="shared" si="47"/>
        <v>0</v>
      </c>
      <c r="M111" s="332">
        <f t="shared" si="47"/>
        <v>0</v>
      </c>
      <c r="N111" s="332">
        <f t="shared" si="47"/>
        <v>0</v>
      </c>
      <c r="O111" s="400">
        <f t="shared" si="47"/>
        <v>0</v>
      </c>
      <c r="P111" s="346">
        <f t="shared" si="45"/>
        <v>18533056</v>
      </c>
      <c r="Q111" s="347"/>
      <c r="R111" s="347"/>
      <c r="S111" s="347"/>
      <c r="T111" s="347"/>
      <c r="U111" s="347"/>
    </row>
    <row r="112" spans="1:21">
      <c r="A112" s="445"/>
      <c r="B112" s="332"/>
      <c r="C112" s="332"/>
      <c r="D112" s="332"/>
      <c r="E112" s="332"/>
      <c r="F112" s="332"/>
      <c r="G112" s="332"/>
      <c r="H112" s="332"/>
      <c r="I112" s="332"/>
      <c r="J112" s="332"/>
      <c r="K112" s="332"/>
      <c r="L112" s="332"/>
      <c r="M112" s="332"/>
      <c r="N112" s="332"/>
      <c r="O112" s="400"/>
      <c r="P112" s="346"/>
      <c r="Q112" s="347"/>
      <c r="R112" s="347"/>
      <c r="S112" s="347"/>
      <c r="T112" s="347"/>
      <c r="U112" s="347"/>
    </row>
    <row r="113" spans="1:21" ht="15.6">
      <c r="A113" s="411" t="s">
        <v>1276</v>
      </c>
      <c r="B113" s="332"/>
      <c r="C113" s="332"/>
      <c r="D113" s="332"/>
      <c r="E113" s="332"/>
      <c r="F113" s="332"/>
      <c r="G113" s="332"/>
      <c r="H113" s="332"/>
      <c r="I113" s="332"/>
      <c r="J113" s="332"/>
      <c r="K113" s="332"/>
      <c r="L113" s="332"/>
      <c r="M113" s="332"/>
      <c r="N113" s="332"/>
      <c r="O113" s="400"/>
      <c r="P113" s="346"/>
      <c r="Q113" s="347"/>
      <c r="R113" s="347"/>
      <c r="S113" s="347"/>
      <c r="T113" s="347"/>
      <c r="U113" s="347"/>
    </row>
    <row r="114" spans="1:21">
      <c r="A114" s="445" t="s">
        <v>912</v>
      </c>
      <c r="B114" s="332">
        <f t="shared" ref="B114:O114" si="48">B108-B110+B33</f>
        <v>26000000</v>
      </c>
      <c r="C114" s="332">
        <f t="shared" si="48"/>
        <v>0</v>
      </c>
      <c r="D114" s="332">
        <f t="shared" si="48"/>
        <v>0</v>
      </c>
      <c r="E114" s="332">
        <f t="shared" si="48"/>
        <v>34954731</v>
      </c>
      <c r="F114" s="332">
        <f t="shared" si="48"/>
        <v>13191781.444444444</v>
      </c>
      <c r="G114" s="332">
        <f t="shared" si="48"/>
        <v>12824250</v>
      </c>
      <c r="H114" s="332">
        <f t="shared" si="48"/>
        <v>120440510.75</v>
      </c>
      <c r="I114" s="332">
        <f t="shared" si="48"/>
        <v>98167550</v>
      </c>
      <c r="J114" s="332">
        <f t="shared" si="48"/>
        <v>42613300</v>
      </c>
      <c r="K114" s="332">
        <f t="shared" si="48"/>
        <v>31330000</v>
      </c>
      <c r="L114" s="332">
        <f t="shared" si="48"/>
        <v>59983100</v>
      </c>
      <c r="M114" s="332">
        <f t="shared" si="48"/>
        <v>0</v>
      </c>
      <c r="N114" s="332">
        <f t="shared" si="48"/>
        <v>0</v>
      </c>
      <c r="O114" s="400">
        <f t="shared" si="48"/>
        <v>3600000</v>
      </c>
      <c r="P114" s="346">
        <f t="shared" ref="P114:P118" si="49">SUM(B114:O114)</f>
        <v>443105223.19444442</v>
      </c>
      <c r="Q114" s="347"/>
      <c r="R114" s="347"/>
      <c r="S114" s="347"/>
      <c r="T114" s="347"/>
      <c r="U114" s="347"/>
    </row>
    <row r="115" spans="1:21">
      <c r="A115" s="445" t="s">
        <v>913</v>
      </c>
      <c r="B115" s="332">
        <f>IF(OR(B18="A",B18="C"),ROUND(MAX((B114-{0;0.25;0.75;1.65;3.25;5.85;9.85}*1000000)/(1-{5;10;15;20;25;30;35}%),0),0),IF(B18="B",B114/(1-10%),B114/(1-20%)))</f>
        <v>30437500</v>
      </c>
      <c r="C115" s="332">
        <f>IF(OR(C18="A",C18="C"),ROUND(MAX((C114-{0;0.25;0.75;1.65;3.25;5.85;9.85}*1000000)/(1-{5;10;15;20;25;30;35}%),0),0),IF(C18="B",C114/(1-10%),C114/(1-20%)))</f>
        <v>0</v>
      </c>
      <c r="D115" s="332">
        <f>IF(OR(D18="A",D18="C"),ROUND(MAX((D114-{0;0.25;0.75;1.65;3.25;5.85;9.85}*1000000)/(1-{5;10;15;20;25;30;35}%),0),0),IF(D18="B",D114/(1-10%),D114/(1-20%)))</f>
        <v>0</v>
      </c>
      <c r="E115" s="332">
        <f>IF(OR(E18="A",E18="C"),ROUND(MAX((E114-{0;0.25;0.75;1.65;3.25;5.85;9.85}*1000000)/(1-{5;10;15;20;25;30;35}%),0),0),IF(E18="B",E114/(1-10%),E114/(1-20%)))</f>
        <v>38838590</v>
      </c>
      <c r="F115" s="332">
        <f>IF(OR(F18="A",F18="C"),ROUND(MAX((F114-{0;0.25;0.75;1.65;3.25;5.85;9.85}*1000000)/(1-{5;10;15;20;25;30;35}%),0),0),IF(F18="B",F114/(1-10%),F114/(1-20%)))</f>
        <v>14657534.938271604</v>
      </c>
      <c r="G115" s="332">
        <f>IF(OR(G18="A",G18="C"),ROUND(MAX((G114-{0;0.25;0.75;1.65;3.25;5.85;9.85}*1000000)/(1-{5;10;15;20;25;30;35}%),0),0),IF(G18="B",G114/(1-10%),G114/(1-20%)))</f>
        <v>14205000</v>
      </c>
      <c r="H115" s="332">
        <f>IF(OR(H18="A",H18="C"),ROUND(MAX((H114-{0;0.25;0.75;1.65;3.25;5.85;9.85}*1000000)/(1-{5;10;15;20;25;30;35}%),0),0),IF(H18="B",H114/(1-10%),H114/(1-20%)))</f>
        <v>150550638.4375</v>
      </c>
      <c r="I115" s="332">
        <f>IF(OR(I18="A",I18="C"),ROUND(MAX((I114-{0;0.25;0.75;1.65;3.25;5.85;9.85}*1000000)/(1-{5;10;15;20;25;30;35}%),0),0),IF(I18="B",I114/(1-10%),I114/(1-20%)))</f>
        <v>122709437.5</v>
      </c>
      <c r="J115" s="332">
        <f>IF(OR(J18="A",J18="C"),ROUND(MAX((J114-{0;0.25;0.75;1.65;3.25;5.85;9.85}*1000000)/(1-{5;10;15;20;25;30;35}%),0),0),IF(J18="B",J114/(1-10%),J114/(1-20%)))</f>
        <v>52519000</v>
      </c>
      <c r="K115" s="332">
        <f>IF(OR(K18="A",K18="C"),ROUND(MAX((K114-{0;0.25;0.75;1.65;3.25;5.85;9.85}*1000000)/(1-{5;10;15;20;25;30;35}%),0),0),IF(K18="B",K114/(1-10%),K114/(1-20%)))</f>
        <v>37440000</v>
      </c>
      <c r="L115" s="332">
        <f>IF(OR(L18="A",L18="C"),ROUND(MAX((L114-{0;0.25;0.75;1.65;3.25;5.85;9.85}*1000000)/(1-{5;10;15;20;25;30;35}%),0),0),IF(L18="B",L114/(1-10%),L114/(1-20%)))</f>
        <v>77333000</v>
      </c>
      <c r="M115" s="332">
        <f>IF(OR(M18="A",M18="C"),ROUND(MAX((M114-{0;0.25;0.75;1.65;3.25;5.85;9.85}*1000000)/(1-{5;10;15;20;25;30;35}%),0),0),IF(M18="B",M114/(1-10%),M114/(1-20%)))</f>
        <v>0</v>
      </c>
      <c r="N115" s="332">
        <f>IF(OR(N18="A",N18="C"),ROUND(MAX((N114-{0;0.25;0.75;1.65;3.25;5.85;9.85}*1000000)/(1-{5;10;15;20;25;30;35}%),0),0),IF(N18="B",N114/(1-10%),N114/(1-20%)))</f>
        <v>0</v>
      </c>
      <c r="O115" s="400">
        <f>IF(OR(O18="A",O18="C"),ROUND(MAX((O114-{0;0.25;0.75;1.65;3.25;5.85;9.85}*1000000)/(1-{5;10;15;20;25;30;35}%),0),0),IF(O18="B",O114/(1-10%),O114/(1-20%)))</f>
        <v>4000000</v>
      </c>
      <c r="P115" s="346">
        <f t="shared" si="49"/>
        <v>542690700.87577164</v>
      </c>
      <c r="Q115" s="347"/>
      <c r="R115" s="347"/>
      <c r="S115" s="347"/>
      <c r="T115" s="347"/>
      <c r="U115" s="347"/>
    </row>
    <row r="116" spans="1:21">
      <c r="A116" s="445" t="s">
        <v>914</v>
      </c>
      <c r="B116" s="332">
        <f t="shared" ref="B116:O116" si="50">IF(OR(B18="A",B18="C"),IF(B115=0,0,B115+B98+B19*B20+B21),B115)</f>
        <v>43720000</v>
      </c>
      <c r="C116" s="332">
        <f t="shared" si="50"/>
        <v>0</v>
      </c>
      <c r="D116" s="332">
        <f t="shared" si="50"/>
        <v>0</v>
      </c>
      <c r="E116" s="332">
        <f t="shared" si="50"/>
        <v>38838590</v>
      </c>
      <c r="F116" s="332">
        <f t="shared" si="50"/>
        <v>14657534.938271604</v>
      </c>
      <c r="G116" s="332">
        <f t="shared" si="50"/>
        <v>23205000</v>
      </c>
      <c r="H116" s="332">
        <f t="shared" si="50"/>
        <v>150550638.4375</v>
      </c>
      <c r="I116" s="332">
        <f t="shared" si="50"/>
        <v>122709437.5</v>
      </c>
      <c r="J116" s="332">
        <f t="shared" si="50"/>
        <v>65000000</v>
      </c>
      <c r="K116" s="332">
        <f t="shared" si="50"/>
        <v>46440000</v>
      </c>
      <c r="L116" s="332">
        <f t="shared" si="50"/>
        <v>90000000</v>
      </c>
      <c r="M116" s="332">
        <f t="shared" si="50"/>
        <v>0</v>
      </c>
      <c r="N116" s="332">
        <f t="shared" si="50"/>
        <v>0</v>
      </c>
      <c r="O116" s="332">
        <f t="shared" si="50"/>
        <v>4000000</v>
      </c>
      <c r="P116" s="346">
        <f t="shared" si="49"/>
        <v>599121200.87577164</v>
      </c>
      <c r="Q116" s="347"/>
      <c r="R116" s="347"/>
      <c r="S116" s="347"/>
      <c r="T116" s="347"/>
      <c r="U116" s="347"/>
    </row>
    <row r="117" spans="1:21">
      <c r="A117" s="445" t="s">
        <v>487</v>
      </c>
      <c r="B117" s="332">
        <f>IF(OR(B18="A",B18="C"),ROUND(MAX(B115*{5;10;15;20;25;30;35}%-{0;0.25;0.75;1.65;3.25;5.85;9.85}*1000000,0),0),IF(B18="B",IF(B115&lt;2000000,0,ROUND(B115*10%,0)),ROUND(B115*20%,0)))</f>
        <v>4437500</v>
      </c>
      <c r="C117" s="332">
        <f>IF(OR(C18="A",C18="C"),ROUND(MAX(C115*{5;10;15;20;25;30;35}%-{0;0.25;0.75;1.65;3.25;5.85;9.85}*1000000,0),0),IF(C18="B",IF(C115&lt;2000000,0,ROUND(C115*10%,0)),ROUND(C115*20%,0)))</f>
        <v>0</v>
      </c>
      <c r="D117" s="332">
        <f>IF(OR(D18="A",D18="C"),ROUND(MAX(D115*{5;10;15;20;25;30;35}%-{0;0.25;0.75;1.65;3.25;5.85;9.85}*1000000,0),0),IF(D18="B",IF(D115&lt;2000000,0,ROUND(D115*10%,0)),ROUND(D115*20%,0)))</f>
        <v>0</v>
      </c>
      <c r="E117" s="332">
        <f>IF(OR(E18="A",E18="C"),ROUND(MAX(E115*{5;10;15;20;25;30;35}%-{0;0.25;0.75;1.65;3.25;5.85;9.85}*1000000,0),0),IF(E18="B",IF(E115&lt;2000000,0,ROUND(E115*10%,0)),ROUND(E115*20%,0)))</f>
        <v>3883859</v>
      </c>
      <c r="F117" s="332">
        <f>IF(OR(F18="A",F18="C"),ROUND(MAX(F115*{5;10;15;20;25;30;35}%-{0;0.25;0.75;1.65;3.25;5.85;9.85}*1000000,0),0),IF(F18="B",IF(F115&lt;2000000,0,ROUND(F115*10%,0)),ROUND(F115*20%,0)))</f>
        <v>1465753</v>
      </c>
      <c r="G117" s="332">
        <f>IF(OR(G18="A",G18="C"),ROUND(MAX(G115*{5;10;15;20;25;30;35}%-{0;0.25;0.75;1.65;3.25;5.85;9.85}*1000000,0),0),IF(G18="B",IF(G115&lt;2000000,0,ROUND(G115*10%,0)),ROUND(G115*20%,0)))</f>
        <v>1380750</v>
      </c>
      <c r="H117" s="332">
        <f>IF(OR(H18="A",H18="C"),ROUND(MAX(H115*{5;10;15;20;25;30;35}%-{0;0.25;0.75;1.65;3.25;5.85;9.85}*1000000,0),0),IF(H18="B",IF(H115&lt;2000000,0,ROUND(H115*10%,0)),ROUND(H115*20%,0)))</f>
        <v>30110128</v>
      </c>
      <c r="I117" s="332">
        <f>IF(OR(I18="A",I18="C"),ROUND(MAX(I115*{5;10;15;20;25;30;35}%-{0;0.25;0.75;1.65;3.25;5.85;9.85}*1000000,0),0),IF(I18="B",IF(I115&lt;2000000,0,ROUND(I115*10%,0)),ROUND(I115*20%,0)))</f>
        <v>24541888</v>
      </c>
      <c r="J117" s="332">
        <f>IF(OR(J18="A",J18="C"),ROUND(MAX(J115*{5;10;15;20;25;30;35}%-{0;0.25;0.75;1.65;3.25;5.85;9.85}*1000000,0),0),IF(J18="B",IF(J115&lt;2000000,0,ROUND(J115*10%,0)),ROUND(J115*20%,0)))</f>
        <v>9905700</v>
      </c>
      <c r="K117" s="332">
        <f>IF(OR(K18="A",K18="C"),ROUND(MAX(K115*{5;10;15;20;25;30;35}%-{0;0.25;0.75;1.65;3.25;5.85;9.85}*1000000,0),0),IF(K18="B",IF(K115&lt;2000000,0,ROUND(K115*10%,0)),ROUND(K115*20%,0)))</f>
        <v>6110000</v>
      </c>
      <c r="L117" s="332">
        <f>IF(OR(L18="A",L18="C"),ROUND(MAX(L115*{5;10;15;20;25;30;35}%-{0;0.25;0.75;1.65;3.25;5.85;9.85}*1000000,0),0),IF(L18="B",IF(L115&lt;2000000,0,ROUND(L115*10%,0)),ROUND(L115*20%,0)))</f>
        <v>17349900</v>
      </c>
      <c r="M117" s="332">
        <f>IF(OR(M18="A",M18="C"),ROUND(MAX(M115*{5;10;15;20;25;30;35}%-{0;0.25;0.75;1.65;3.25;5.85;9.85}*1000000,0),0),IF(M18="B",IF(M115&lt;2000000,0,ROUND(M115*10%,0)),ROUND(M115*20%,0)))</f>
        <v>0</v>
      </c>
      <c r="N117" s="332">
        <f>IF(OR(N18="A",N18="C"),ROUND(MAX(N115*{5;10;15;20;25;30;35}%-{0;0.25;0.75;1.65;3.25;5.85;9.85}*1000000,0),0),IF(N18="B",IF(N115&lt;2000000,0,ROUND(N115*10%,0)),ROUND(N115*20%,0)))</f>
        <v>0</v>
      </c>
      <c r="O117" s="400">
        <f>IF(OR(O18="A",O18="C"),ROUND(MAX(O115*{5;10;15;20;25;30;35}%-{0;0.25;0.75;1.65;3.25;5.85;9.85}*1000000,0),0),IF(O18="B",IF(O115&lt;2000000,0,ROUND(O115*10%,0)),ROUND(O115*20%,0)))</f>
        <v>400000</v>
      </c>
      <c r="P117" s="346">
        <f t="shared" si="49"/>
        <v>99585478</v>
      </c>
      <c r="Q117" s="347"/>
      <c r="R117" s="347"/>
      <c r="S117" s="347"/>
      <c r="T117" s="347"/>
      <c r="U117" s="347"/>
    </row>
    <row r="118" spans="1:21">
      <c r="A118" s="445" t="s">
        <v>905</v>
      </c>
      <c r="B118" s="332">
        <f t="shared" ref="B118:O118" si="51">B117-B101-B111</f>
        <v>0</v>
      </c>
      <c r="C118" s="332">
        <f t="shared" si="51"/>
        <v>0</v>
      </c>
      <c r="D118" s="332">
        <f t="shared" si="51"/>
        <v>0</v>
      </c>
      <c r="E118" s="332">
        <f t="shared" si="51"/>
        <v>0</v>
      </c>
      <c r="F118" s="332">
        <f t="shared" si="51"/>
        <v>0</v>
      </c>
      <c r="G118" s="332">
        <f t="shared" si="51"/>
        <v>0</v>
      </c>
      <c r="H118" s="332">
        <f t="shared" si="51"/>
        <v>0</v>
      </c>
      <c r="I118" s="332">
        <f t="shared" si="51"/>
        <v>870188</v>
      </c>
      <c r="J118" s="332">
        <f t="shared" si="51"/>
        <v>0</v>
      </c>
      <c r="K118" s="332">
        <f t="shared" si="51"/>
        <v>1333333</v>
      </c>
      <c r="L118" s="332">
        <f t="shared" si="51"/>
        <v>0</v>
      </c>
      <c r="M118" s="332">
        <f t="shared" si="51"/>
        <v>0</v>
      </c>
      <c r="N118" s="332">
        <f t="shared" si="51"/>
        <v>0</v>
      </c>
      <c r="O118" s="400">
        <f t="shared" si="51"/>
        <v>0</v>
      </c>
      <c r="P118" s="346">
        <f t="shared" si="49"/>
        <v>2203521</v>
      </c>
    </row>
    <row r="119" spans="1:21">
      <c r="A119" s="412"/>
      <c r="B119" s="14"/>
      <c r="C119" s="7"/>
      <c r="D119" s="7"/>
      <c r="E119" s="322"/>
      <c r="F119" s="7"/>
      <c r="G119" s="7"/>
      <c r="H119" s="7"/>
      <c r="I119" s="7"/>
      <c r="J119" s="7"/>
      <c r="K119" s="322"/>
      <c r="L119" s="322"/>
      <c r="M119" s="322"/>
      <c r="N119" s="322"/>
      <c r="O119" s="381"/>
      <c r="P119" s="346"/>
    </row>
    <row r="120" spans="1:21" ht="15.6">
      <c r="A120" s="411" t="s">
        <v>825</v>
      </c>
      <c r="B120" s="14"/>
      <c r="C120" s="7"/>
      <c r="D120" s="7"/>
      <c r="E120" s="322"/>
      <c r="F120" s="7"/>
      <c r="G120" s="7"/>
      <c r="H120" s="7"/>
      <c r="I120" s="7"/>
      <c r="J120" s="7"/>
      <c r="K120" s="322"/>
      <c r="L120" s="322"/>
      <c r="M120" s="322"/>
      <c r="N120" s="322"/>
      <c r="O120" s="381"/>
      <c r="P120" s="346"/>
    </row>
    <row r="121" spans="1:21">
      <c r="A121" s="445" t="s">
        <v>432</v>
      </c>
      <c r="B121" s="549">
        <f>'UAT3-Mar'!B114</f>
        <v>160</v>
      </c>
      <c r="C121" s="549">
        <f>'UAT3-Mar'!C114</f>
        <v>72</v>
      </c>
      <c r="D121" s="549">
        <f>'UAT3-Mar'!D114</f>
        <v>156.93</v>
      </c>
      <c r="E121" s="549">
        <f>'UAT3-Mar'!E114</f>
        <v>160</v>
      </c>
      <c r="F121" s="549">
        <f>'UAT3-Mar'!F114</f>
        <v>128</v>
      </c>
      <c r="G121" s="549">
        <f>'UAT3-Mar'!G114</f>
        <v>0</v>
      </c>
      <c r="H121" s="549">
        <f>'UAT3-Mar'!H114</f>
        <v>80</v>
      </c>
      <c r="I121" s="549">
        <f>'UAT3-Mar'!I114</f>
        <v>0</v>
      </c>
      <c r="J121" s="549">
        <f>'UAT3-Mar'!J114</f>
        <v>44.32</v>
      </c>
      <c r="K121" s="549">
        <f>'UAT3-Mar'!K114</f>
        <v>160</v>
      </c>
      <c r="L121" s="549">
        <f>'UAT3-Mar'!L114</f>
        <v>160</v>
      </c>
      <c r="M121" s="549">
        <f>'UAT3-Mar'!M114</f>
        <v>160</v>
      </c>
      <c r="N121" s="549">
        <f>'UAT3-Mar'!N114</f>
        <v>160</v>
      </c>
      <c r="O121" s="550">
        <f>'UAT3-Mar'!O114</f>
        <v>0</v>
      </c>
      <c r="P121" s="478">
        <v>1540</v>
      </c>
    </row>
    <row r="122" spans="1:21">
      <c r="A122" s="445" t="s">
        <v>433</v>
      </c>
      <c r="B122" s="549">
        <f>'UAT3-Mar'!B115</f>
        <v>80</v>
      </c>
      <c r="C122" s="549">
        <f>'UAT3-Mar'!C115</f>
        <v>36</v>
      </c>
      <c r="D122" s="549">
        <f>'UAT3-Mar'!D115</f>
        <v>78.47</v>
      </c>
      <c r="E122" s="549">
        <f>'UAT3-Mar'!E115</f>
        <v>80</v>
      </c>
      <c r="F122" s="549">
        <f>'UAT3-Mar'!F115</f>
        <v>64</v>
      </c>
      <c r="G122" s="549">
        <f>'UAT3-Mar'!G115</f>
        <v>0</v>
      </c>
      <c r="H122" s="549">
        <f>'UAT3-Mar'!H115</f>
        <v>40</v>
      </c>
      <c r="I122" s="549">
        <f>'UAT3-Mar'!I115</f>
        <v>0</v>
      </c>
      <c r="J122" s="549">
        <f>'UAT3-Mar'!J115</f>
        <v>22.16</v>
      </c>
      <c r="K122" s="549">
        <f>'UAT3-Mar'!K115</f>
        <v>80</v>
      </c>
      <c r="L122" s="549">
        <f>'UAT3-Mar'!L115</f>
        <v>80</v>
      </c>
      <c r="M122" s="549">
        <f>'UAT3-Mar'!M115</f>
        <v>80</v>
      </c>
      <c r="N122" s="549">
        <f>'UAT3-Mar'!N115</f>
        <v>80</v>
      </c>
      <c r="O122" s="550">
        <f>'UAT3-Mar'!O115</f>
        <v>0</v>
      </c>
      <c r="P122" s="478">
        <v>769</v>
      </c>
    </row>
    <row r="123" spans="1:21">
      <c r="A123" s="445" t="s">
        <v>434</v>
      </c>
      <c r="B123" s="555">
        <f>'UAT3-Mar'!B116</f>
        <v>0</v>
      </c>
      <c r="C123" s="555">
        <f>'UAT3-Mar'!C116</f>
        <v>0</v>
      </c>
      <c r="D123" s="555">
        <f>'UAT3-Mar'!D116</f>
        <v>0</v>
      </c>
      <c r="E123" s="555">
        <f>'UAT3-Mar'!E116</f>
        <v>0</v>
      </c>
      <c r="F123" s="555">
        <f>'UAT3-Mar'!F116</f>
        <v>0</v>
      </c>
      <c r="G123" s="555">
        <f>'UAT3-Mar'!G116</f>
        <v>0</v>
      </c>
      <c r="H123" s="555">
        <f>'UAT3-Mar'!H116</f>
        <v>0</v>
      </c>
      <c r="I123" s="555">
        <f>'UAT3-Mar'!I116</f>
        <v>0</v>
      </c>
      <c r="J123" s="555">
        <f>'UAT3-Mar'!J116</f>
        <v>0</v>
      </c>
      <c r="K123" s="555">
        <f>'UAT3-Mar'!K116</f>
        <v>0</v>
      </c>
      <c r="L123" s="555">
        <f>'UAT3-Mar'!L116</f>
        <v>0</v>
      </c>
      <c r="M123" s="555">
        <f>'UAT3-Mar'!M116</f>
        <v>0</v>
      </c>
      <c r="N123" s="555">
        <f>'UAT3-Mar'!N116</f>
        <v>0</v>
      </c>
      <c r="O123" s="556">
        <f>'UAT3-Mar'!O116</f>
        <v>0</v>
      </c>
      <c r="P123" s="478">
        <v>0</v>
      </c>
    </row>
    <row r="124" spans="1:21">
      <c r="A124" s="445" t="s">
        <v>435</v>
      </c>
      <c r="B124" s="555">
        <f>'UAT3-Mar'!B117</f>
        <v>0</v>
      </c>
      <c r="C124" s="555">
        <f>'UAT3-Mar'!C117</f>
        <v>0</v>
      </c>
      <c r="D124" s="555">
        <f>'UAT3-Mar'!D117</f>
        <v>0</v>
      </c>
      <c r="E124" s="555">
        <f>'UAT3-Mar'!E117</f>
        <v>0</v>
      </c>
      <c r="F124" s="555">
        <f>'UAT3-Mar'!F117</f>
        <v>0</v>
      </c>
      <c r="G124" s="555">
        <f>'UAT3-Mar'!G117</f>
        <v>0</v>
      </c>
      <c r="H124" s="555">
        <f>'UAT3-Mar'!H117</f>
        <v>0</v>
      </c>
      <c r="I124" s="555">
        <f>'UAT3-Mar'!I117</f>
        <v>0</v>
      </c>
      <c r="J124" s="555">
        <f>'UAT3-Mar'!J117</f>
        <v>0</v>
      </c>
      <c r="K124" s="555">
        <f>'UAT3-Mar'!K117</f>
        <v>0</v>
      </c>
      <c r="L124" s="555">
        <f>'UAT3-Mar'!L117</f>
        <v>0</v>
      </c>
      <c r="M124" s="555">
        <f>'UAT3-Mar'!M117</f>
        <v>0</v>
      </c>
      <c r="N124" s="555">
        <f>'UAT3-Mar'!N117</f>
        <v>0</v>
      </c>
      <c r="O124" s="556">
        <f>'UAT3-Mar'!O117</f>
        <v>0</v>
      </c>
      <c r="P124" s="478">
        <v>0</v>
      </c>
    </row>
    <row r="125" spans="1:21">
      <c r="A125" s="445" t="s">
        <v>436</v>
      </c>
      <c r="B125" s="549">
        <f>'UAT3-Mar'!B118</f>
        <v>0</v>
      </c>
      <c r="C125" s="549">
        <f>'UAT3-Mar'!C118</f>
        <v>0</v>
      </c>
      <c r="D125" s="549">
        <f>'UAT3-Mar'!D118</f>
        <v>0</v>
      </c>
      <c r="E125" s="549">
        <f>'UAT3-Mar'!E118</f>
        <v>0</v>
      </c>
      <c r="F125" s="549">
        <f>'UAT3-Mar'!F118</f>
        <v>0</v>
      </c>
      <c r="G125" s="549">
        <f>'UAT3-Mar'!G118</f>
        <v>0</v>
      </c>
      <c r="H125" s="549">
        <f>'UAT3-Mar'!H118</f>
        <v>0</v>
      </c>
      <c r="I125" s="549">
        <f>'UAT3-Mar'!I118</f>
        <v>0</v>
      </c>
      <c r="J125" s="549">
        <f>'UAT3-Mar'!J118</f>
        <v>0</v>
      </c>
      <c r="K125" s="549">
        <f>'UAT3-Mar'!K118</f>
        <v>0</v>
      </c>
      <c r="L125" s="549">
        <f>'UAT3-Mar'!L118</f>
        <v>0</v>
      </c>
      <c r="M125" s="549">
        <f>'UAT3-Mar'!M118</f>
        <v>0</v>
      </c>
      <c r="N125" s="549">
        <f>'UAT3-Mar'!N118</f>
        <v>0</v>
      </c>
      <c r="O125" s="550">
        <f>'UAT3-Mar'!O118</f>
        <v>0</v>
      </c>
      <c r="P125" s="478">
        <v>0</v>
      </c>
    </row>
    <row r="126" spans="1:21">
      <c r="A126" s="445"/>
      <c r="F126" s="5"/>
      <c r="G126" s="5"/>
      <c r="H126" s="5"/>
      <c r="I126" s="5"/>
    </row>
    <row r="127" spans="1:21" ht="15.6">
      <c r="A127" s="411" t="s">
        <v>437</v>
      </c>
    </row>
    <row r="128" spans="1:21">
      <c r="A128" s="6" t="s">
        <v>863</v>
      </c>
      <c r="B128" s="551">
        <f>IF(OR(B11="S",B11="C"),0,IF(OR(B11="1",B11="3"),ROUND(20*8*B16/365,5),ROUND(20*'New Hire'!C24*B16/365,5)))+'UAT3-Mar'!B121</f>
        <v>52.602730000000001</v>
      </c>
      <c r="C128" s="551">
        <f>IF(OR(C11="S",C11="C"),0,IF(OR(C11="1",C11="3"),ROUND(20*8*C16/365,5),ROUND(20*'New Hire'!D24*C16/365,5)))+'UAT3-Mar'!C121</f>
        <v>23.671240000000001</v>
      </c>
      <c r="D128" s="551">
        <f>IF(OR(D11="S",D11="C"),0,IF(OR(D11="1",D11="3"),ROUND(20*8*D16/365,5),ROUND(20*'New Hire'!E24*D16/365,5)))+'UAT3-Mar'!D121</f>
        <v>49.534240000000004</v>
      </c>
      <c r="E128" s="551">
        <f>IF(OR(E11="S",E11="C"),0,IF(OR(E11="1",E11="3"),ROUND(20*8*E16/365,5),ROUND(20*'New Hire'!F24*E16/365,5)))+'UAT3-Mar'!E121</f>
        <v>52.602730000000001</v>
      </c>
      <c r="F128" s="551">
        <f>IF(OR(F11="S",F11="C"),0,IF(OR(F11="1",F11="3"),ROUND(20*8*F16/365,5),ROUND(20*'New Hire'!G24*F16/365,5)))+'UAT3-Mar'!F121</f>
        <v>42.082189999999997</v>
      </c>
      <c r="G128" s="551">
        <f>IF(OR(G11="S",G11="C"),0,IF(OR(G11="1",G11="3"),ROUND(20*8*G16/365,5),ROUND(20*'New Hire'!H24*G16/365,5)))+'UAT3-Mar'!G121</f>
        <v>0</v>
      </c>
      <c r="H128" s="551">
        <f>IF(OR(H11="S",H11="C"),0,IF(OR(H11="1",H11="3"),ROUND(20*8*H16/365,5),ROUND(20*'New Hire'!I24*H16/365,5)))+'UAT3-Mar'!H121</f>
        <v>26.301370000000002</v>
      </c>
      <c r="I128" s="551">
        <f>IF(OR(I11="S",I11="C"),0,IF(OR(I11="1",I11="3"),ROUND(20*8*I16/365,5),ROUND(20*'New Hire'!J24*I16/365,5)))+'UAT3-Mar'!I121</f>
        <v>0</v>
      </c>
      <c r="J128" s="551">
        <f>IF(OR(J11="S",J11="C"),0,IF(OR(J11="1",J11="3"),ROUND(20*8*J16/365,5),ROUND(20*'New Hire'!K24*J16/365,5)))+'UAT3-Mar'!J121</f>
        <v>12.09863</v>
      </c>
      <c r="K128" s="551">
        <f>IF(OR(K11="S",K11="C"),0,IF(OR(K11="1",K11="3"),ROUND(20*8*K16/365,5),ROUND(20*'New Hire'!L24*K16/365,5)))+'UAT3-Mar'!K121</f>
        <v>52.602730000000001</v>
      </c>
      <c r="L128" s="551">
        <f>IF(OR(L11="S",L11="C"),0,IF(OR(L11="1",L11="3"),ROUND(20*8*L16/365,5),ROUND(20*'New Hire'!M24*L16/365,5)))+'UAT3-Mar'!L121</f>
        <v>52.602730000000001</v>
      </c>
      <c r="M128" s="551">
        <f>IF(OR(M11="S",M11="C"),0,IF(OR(M11="1",M11="3"),ROUND(20*8*M16/365,5),ROUND(20*'New Hire'!N24*M16/365,5)))+'UAT3-Mar'!M121</f>
        <v>52.602730000000001</v>
      </c>
      <c r="N128" s="551">
        <f>IF(OR(N11="S",N11="C"),0,IF(OR(N11="1",N11="3"),ROUND(20*8*N16/365,5),ROUND(20*'New Hire'!O24*N16/365,5)))+'UAT3-Mar'!N121</f>
        <v>52.602730000000001</v>
      </c>
      <c r="O128" s="551">
        <f>IF(OR(O11="S",O11="C"),0,IF(OR(O11="1",O11="3"),ROUND(20*8*O16/365,5),ROUND(20*'New Hire'!P24*O16/365,5)))+'UAT3-Mar'!O121</f>
        <v>0</v>
      </c>
      <c r="P128" s="347"/>
    </row>
    <row r="129" spans="1:16">
      <c r="A129" s="6" t="s">
        <v>864</v>
      </c>
      <c r="B129" s="552">
        <f>IF(OR(B11="S",B11="C"),0,IF(OR(B11="1",B11="3"),ROUND(10*8*B16/365,5),ROUND(10*'New Hire'!C24*B16/365,5)))+'UAT3-Mar'!B122</f>
        <v>26.301370000000002</v>
      </c>
      <c r="C129" s="552">
        <f>IF(OR(C11="S",C11="C"),0,IF(OR(C11="1",C11="3"),ROUND(10*8*C16/365,5),ROUND(10*'New Hire'!D24*C16/365,5)))+'UAT3-Mar'!C122</f>
        <v>11.835599999999999</v>
      </c>
      <c r="D129" s="552">
        <f>IF(OR(D11="S",D11="C"),0,IF(OR(D11="1",D11="3"),ROUND(10*8*D16/365,5),ROUND(10*'New Hire'!E24*D16/365,5)))+'UAT3-Mar'!D122</f>
        <v>24.767120000000002</v>
      </c>
      <c r="E129" s="552">
        <f>IF(OR(E11="S",E11="C"),0,IF(OR(E11="1",E11="3"),ROUND(10*8*E16/365,5),ROUND(10*'New Hire'!F24*E16/365,5)))+'UAT3-Mar'!E122</f>
        <v>26.301370000000002</v>
      </c>
      <c r="F129" s="552">
        <f>IF(OR(F11="S",F11="C"),0,IF(OR(F11="1",F11="3"),ROUND(10*8*F16/365,5),ROUND(10*'New Hire'!G24*F16/365,5)))+'UAT3-Mar'!F122</f>
        <v>21.0411</v>
      </c>
      <c r="G129" s="552">
        <f>IF(OR(G11="S",G11="C"),0,IF(OR(G11="1",G11="3"),ROUND(10*8*G16/365,5),ROUND(10*'New Hire'!H24*G16/365,5)))+'UAT3-Mar'!G122</f>
        <v>0</v>
      </c>
      <c r="H129" s="552">
        <f>IF(OR(H11="S",H11="C"),0,IF(OR(H11="1",H11="3"),ROUND(10*8*H16/365,5),ROUND(10*'New Hire'!I24*H16/365,5)))+'UAT3-Mar'!H122</f>
        <v>13.150679999999999</v>
      </c>
      <c r="I129" s="552">
        <f>IF(OR(I11="S",I11="C"),0,IF(OR(I11="1",I11="3"),ROUND(10*8*I16/365,5),ROUND(10*'New Hire'!J24*I16/365,5)))+'UAT3-Mar'!I122</f>
        <v>0</v>
      </c>
      <c r="J129" s="552">
        <f>IF(OR(J11="S",J11="C"),0,IF(OR(J11="1",J11="3"),ROUND(10*8*J16/365,5),ROUND(10*'New Hire'!K24*J16/365,5)))+'UAT3-Mar'!J122</f>
        <v>6.0493199999999998</v>
      </c>
      <c r="K129" s="552">
        <f>IF(OR(K11="S",K11="C"),0,IF(OR(K11="1",K11="3"),ROUND(10*8*K16/365,5),ROUND(10*'New Hire'!L24*K16/365,5)))+'UAT3-Mar'!K122</f>
        <v>26.301370000000002</v>
      </c>
      <c r="L129" s="552">
        <f>IF(OR(L11="S",L11="C"),0,IF(OR(L11="1",L11="3"),ROUND(10*8*L16/365,5),ROUND(10*'New Hire'!M24*L16/365,5)))+'UAT3-Mar'!L122</f>
        <v>26.301370000000002</v>
      </c>
      <c r="M129" s="552">
        <f>IF(OR(M11="S",M11="C"),0,IF(OR(M11="1",M11="3"),ROUND(10*8*M16/365,5),ROUND(10*'New Hire'!N24*M16/365,5)))+'UAT3-Mar'!M122</f>
        <v>26.301370000000002</v>
      </c>
      <c r="N129" s="552">
        <f>IF(OR(N11="S",N11="C"),0,IF(OR(N11="1",N11="3"),ROUND(10*8*N16/365,5),ROUND(10*'New Hire'!O24*N16/365,5)))+'UAT3-Mar'!N122</f>
        <v>26.301370000000002</v>
      </c>
      <c r="O129" s="552">
        <f>IF(OR(O11="S",O11="C"),0,IF(OR(O11="1",O11="3"),ROUND(10*8*O16/365,5),ROUND(10*'New Hire'!P24*O16/365,5)))+'UAT3-Mar'!O122</f>
        <v>0</v>
      </c>
    </row>
    <row r="130" spans="1:16">
      <c r="A130" s="445" t="s">
        <v>829</v>
      </c>
      <c r="B130" s="551">
        <f>IF('New Hire'!C78=1,ROUND(25/10*B13%/365,5)*B16,0)+'UAT3-Mar'!B123</f>
        <v>0</v>
      </c>
      <c r="C130" s="551">
        <f>IF('New Hire'!D78=1,ROUND(25/10*C13%/365,5)*C16,0)+'UAT3-Mar'!C123</f>
        <v>0</v>
      </c>
      <c r="D130" s="551">
        <f>IF('New Hire'!E78=1,ROUND(25/10*D13%/365,5)*D16,0)+'UAT3-Mar'!D123</f>
        <v>0</v>
      </c>
      <c r="E130" s="551">
        <f>IF('New Hire'!F78=1,ROUND(25/10*E13%/365,5)*E16,0)+'UAT3-Mar'!E123</f>
        <v>0</v>
      </c>
      <c r="F130" s="551">
        <f>IF('New Hire'!G78=1,ROUND(25/10*F13%/365,5)*F16,0)+'UAT3-Mar'!F123</f>
        <v>0.82200000000000006</v>
      </c>
      <c r="G130" s="551">
        <f>IF('New Hire'!H78=1,ROUND(25/10*G13%/365,5)*G16,0)+'UAT3-Mar'!G123</f>
        <v>0</v>
      </c>
      <c r="H130" s="551">
        <f>IF('New Hire'!I78=1,ROUND(25/10*H13%/365,5)*H16,0)+'UAT3-Mar'!H123</f>
        <v>0</v>
      </c>
      <c r="I130" s="551">
        <f>IF('New Hire'!J78=1,ROUND(25/10*I13%/365,5)*I16,0)+'UAT3-Mar'!I123</f>
        <v>0</v>
      </c>
      <c r="J130" s="551">
        <f>IF('New Hire'!K78=1,ROUND(25/10*J13%/365,5)*J16,0)+'UAT3-Mar'!J123</f>
        <v>0</v>
      </c>
      <c r="K130" s="551">
        <f>IF('New Hire'!L78=1,ROUND(25/10*K13%/365,5)*K16,0)+'UAT3-Mar'!K123</f>
        <v>0</v>
      </c>
      <c r="L130" s="551">
        <f>IF('New Hire'!M78=1,ROUND(25/10*L13%/365,5)*L16,0)+'UAT3-Mar'!L123</f>
        <v>0</v>
      </c>
      <c r="M130" s="551">
        <f>IF('New Hire'!N78=1,ROUND(25/10*M13%/365,5)*M16,0)+'UAT3-Mar'!M123</f>
        <v>0</v>
      </c>
      <c r="N130" s="551">
        <f>IF('New Hire'!O78=1,ROUND(25/10*N13%/365,5)*N16,0)+'UAT3-Mar'!N123</f>
        <v>0</v>
      </c>
      <c r="O130" s="551">
        <f>IF('New Hire'!P78=1,ROUND(25/10*O13%/365,5)*O16,0)+'UAT3-Mar'!O123</f>
        <v>0</v>
      </c>
      <c r="P130" s="347"/>
    </row>
    <row r="131" spans="1:16">
      <c r="A131" s="445" t="s">
        <v>830</v>
      </c>
      <c r="B131" s="552">
        <f>IF(B11="C",0,IF('New Hire'!C78=1,0,ROUND(5/5*B13%/365,5)*B16)+'UAT3-Mar'!B124)</f>
        <v>0.32879999999999998</v>
      </c>
      <c r="C131" s="552">
        <f>IF(C11="C",0,IF('New Hire'!D78=1,0,ROUND(5/5*C13%/365,5)*C16)+'UAT3-Mar'!C124)</f>
        <v>0.16439999999999999</v>
      </c>
      <c r="D131" s="552">
        <f>IF(D11="C",0,IF('New Hire'!E78=1,0,ROUND(5/5*D13%/365,5)*D16)+'UAT3-Mar'!D124)</f>
        <v>0.30962000000000001</v>
      </c>
      <c r="E131" s="552">
        <f>IF(E11="C",0,IF('New Hire'!F78=1,0,ROUND(5/5*E13%/365,5)*E16)+'UAT3-Mar'!E124)</f>
        <v>0.32879999999999998</v>
      </c>
      <c r="F131" s="552">
        <f>IF(F11="C",0,IF('New Hire'!G78=1,0,ROUND(5/5*F13%/365,5)*F16)+'UAT3-Mar'!F124)</f>
        <v>0</v>
      </c>
      <c r="G131" s="552">
        <f>IF(G11="C",0,IF('New Hire'!H78=1,0,ROUND(5/5*G13%/365,5)*G16)+'UAT3-Mar'!G124)</f>
        <v>0</v>
      </c>
      <c r="H131" s="552">
        <f>IF(H11="C",0,IF('New Hire'!I78=1,0,ROUND(5/5*H13%/365,5)*H16)+'UAT3-Mar'!H124)</f>
        <v>0.16439999999999999</v>
      </c>
      <c r="I131" s="552">
        <f>IF(I11="C",0,IF('New Hire'!J78=1,0,ROUND(5/5*I13%/365,5)*I16)+'UAT3-Mar'!I124)</f>
        <v>0.28221999999999997</v>
      </c>
      <c r="J131" s="552">
        <f>IF(J11="C",0,IF('New Hire'!K78=1,0,ROUND(5/5*J13%/365,5)*J16)+'UAT3-Mar'!J124)</f>
        <v>0.12603999999999999</v>
      </c>
      <c r="K131" s="552">
        <f>IF(K11="C",0,IF('New Hire'!L78=1,0,ROUND(5/5*K13%/365,5)*K16)+'UAT3-Mar'!K124)</f>
        <v>0.32879999999999998</v>
      </c>
      <c r="L131" s="552">
        <f>IF(L11="C",0,IF('New Hire'!M78=1,0,ROUND(5/5*L13%/365,5)*L16)+'UAT3-Mar'!L124)</f>
        <v>0.32879999999999998</v>
      </c>
      <c r="M131" s="552">
        <f>IF(M11="C",0,IF('New Hire'!N78=1,0,ROUND(5/5*M13%/365,5)*M16)+'UAT3-Mar'!M124)</f>
        <v>0.32879999999999998</v>
      </c>
      <c r="N131" s="552">
        <f>IF(N11="C",0,IF('New Hire'!O78=1,0,ROUND(5/5*N13%/365,5)*N16)+'UAT3-Mar'!N124)</f>
        <v>0.32879999999999998</v>
      </c>
      <c r="O131" s="552">
        <f>IF(O11="C",0,IF('New Hire'!P78=1,0,ROUND(5/5*O13%/365,5)*O16)+'UAT3-Mar'!O124)</f>
        <v>0</v>
      </c>
    </row>
    <row r="132" spans="1:16">
      <c r="A132" s="445"/>
      <c r="B132" s="549"/>
      <c r="C132" s="549"/>
      <c r="D132" s="549"/>
      <c r="E132" s="549"/>
      <c r="F132" s="549"/>
      <c r="G132" s="549"/>
      <c r="H132" s="549"/>
      <c r="I132" s="549"/>
      <c r="J132" s="549"/>
      <c r="K132" s="549"/>
      <c r="L132" s="549"/>
      <c r="M132" s="549"/>
      <c r="N132" s="549"/>
      <c r="O132" s="549"/>
    </row>
    <row r="133" spans="1:16" ht="15.6">
      <c r="A133" s="411" t="s">
        <v>629</v>
      </c>
    </row>
    <row r="134" spans="1:16">
      <c r="A134" s="445" t="s">
        <v>479</v>
      </c>
      <c r="B134" s="452">
        <f>'New Hire'!C32</f>
        <v>5000000</v>
      </c>
      <c r="C134" s="452">
        <f>'New Hire'!D32</f>
        <v>4500000</v>
      </c>
      <c r="D134" s="452">
        <f>'New Hire'!E32</f>
        <v>7000000</v>
      </c>
      <c r="E134" s="452">
        <f>'New Hire'!F32</f>
        <v>9000000</v>
      </c>
      <c r="F134" s="452">
        <f>'New Hire'!G32</f>
        <v>14000000</v>
      </c>
      <c r="H134" s="452">
        <f>'New Hire'!I32</f>
        <v>5000</v>
      </c>
      <c r="I134" s="452">
        <f>'New Hire'!J32</f>
        <v>4000</v>
      </c>
      <c r="J134" s="452">
        <f>'New Hire'!K32</f>
        <v>50000000</v>
      </c>
      <c r="K134" s="452">
        <f>'New Hire'!L32</f>
        <v>8000000</v>
      </c>
      <c r="L134" s="452">
        <f>'New Hire'!M32</f>
        <v>90000000</v>
      </c>
      <c r="M134" s="452">
        <f>'New Hire'!N32</f>
        <v>5000000</v>
      </c>
      <c r="N134" s="452">
        <f>'New Hire'!O32</f>
        <v>6500000</v>
      </c>
    </row>
    <row r="135" spans="1:16">
      <c r="A135" s="445" t="s">
        <v>776</v>
      </c>
      <c r="B135" s="452"/>
      <c r="C135" s="452"/>
      <c r="D135" s="452"/>
      <c r="E135" s="452"/>
      <c r="F135" s="452"/>
      <c r="G135" s="452">
        <f>'New Hire'!H32</f>
        <v>200</v>
      </c>
      <c r="H135" s="452"/>
      <c r="I135" s="452"/>
      <c r="J135" s="452"/>
      <c r="K135" s="452"/>
      <c r="L135" s="452"/>
      <c r="M135" s="452"/>
      <c r="N135" s="452"/>
      <c r="O135" s="452">
        <f>'New Hire'!P32</f>
        <v>800000</v>
      </c>
    </row>
    <row r="136" spans="1:16">
      <c r="A136" s="451" t="s">
        <v>496</v>
      </c>
      <c r="B136" s="452">
        <f>'New Hire'!C34</f>
        <v>500000</v>
      </c>
      <c r="C136" s="452">
        <f>'New Hire'!D34</f>
        <v>450000</v>
      </c>
      <c r="D136" s="452">
        <f>'New Hire'!E34</f>
        <v>700000</v>
      </c>
      <c r="E136" s="452">
        <f>'New Hire'!F34</f>
        <v>0</v>
      </c>
      <c r="F136" s="452">
        <f>'New Hire'!G34</f>
        <v>0</v>
      </c>
      <c r="G136" s="452">
        <f>'New Hire'!H34</f>
        <v>0</v>
      </c>
      <c r="H136" s="452">
        <f>'New Hire'!I34</f>
        <v>500</v>
      </c>
      <c r="I136" s="452">
        <f>'New Hire'!J34</f>
        <v>0</v>
      </c>
      <c r="J136" s="452">
        <f>'New Hire'!K34</f>
        <v>5000000</v>
      </c>
      <c r="K136" s="452">
        <f>'New Hire'!L34</f>
        <v>800000</v>
      </c>
      <c r="L136" s="452">
        <f>'New Hire'!M34</f>
        <v>0</v>
      </c>
      <c r="M136" s="452">
        <f>'New Hire'!N34</f>
        <v>1000000</v>
      </c>
      <c r="N136" s="452">
        <f>'New Hire'!O34</f>
        <v>1000000</v>
      </c>
      <c r="O136" s="452">
        <f>'New Hire'!P34</f>
        <v>0</v>
      </c>
    </row>
    <row r="137" spans="1:16">
      <c r="A137" s="415" t="s">
        <v>569</v>
      </c>
      <c r="B137" s="452">
        <f>'New Hire'!C36</f>
        <v>1000000</v>
      </c>
      <c r="C137" s="452">
        <f>'New Hire'!D36</f>
        <v>900000</v>
      </c>
      <c r="D137" s="452">
        <f>'New Hire'!E36</f>
        <v>1400000</v>
      </c>
      <c r="E137" s="452">
        <f>'New Hire'!F36</f>
        <v>0</v>
      </c>
      <c r="F137" s="452">
        <f>'New Hire'!G36</f>
        <v>0</v>
      </c>
      <c r="G137" s="452">
        <f>'New Hire'!H36</f>
        <v>0</v>
      </c>
      <c r="H137" s="452">
        <f>'New Hire'!I36</f>
        <v>1000</v>
      </c>
      <c r="I137" s="452">
        <f>'New Hire'!J36</f>
        <v>0</v>
      </c>
      <c r="J137" s="452">
        <f>'New Hire'!K36</f>
        <v>10000000</v>
      </c>
      <c r="K137" s="452">
        <f>'New Hire'!L36</f>
        <v>1600000</v>
      </c>
      <c r="L137" s="452">
        <f>'New Hire'!M36</f>
        <v>0</v>
      </c>
      <c r="M137" s="452">
        <f>'New Hire'!N36</f>
        <v>1500000</v>
      </c>
      <c r="N137" s="452">
        <f>'New Hire'!O36</f>
        <v>1500000</v>
      </c>
      <c r="O137" s="452">
        <f>'New Hire'!P36</f>
        <v>0</v>
      </c>
    </row>
    <row r="138" spans="1:16">
      <c r="A138" s="423" t="s">
        <v>495</v>
      </c>
      <c r="B138" s="452"/>
      <c r="C138" s="452"/>
      <c r="D138" s="452"/>
      <c r="E138" s="452"/>
      <c r="F138" s="452"/>
      <c r="G138" s="453"/>
      <c r="H138" s="453"/>
      <c r="I138" s="453"/>
      <c r="J138" s="453"/>
      <c r="K138" s="453"/>
      <c r="L138" s="453"/>
      <c r="M138" s="453"/>
      <c r="N138" s="453"/>
      <c r="O138" s="453"/>
    </row>
    <row r="139" spans="1:16">
      <c r="A139" s="412" t="s">
        <v>530</v>
      </c>
      <c r="B139" s="452"/>
      <c r="C139" s="452"/>
      <c r="D139" s="452"/>
      <c r="E139" s="452"/>
      <c r="F139" s="455"/>
      <c r="G139" s="455"/>
      <c r="H139" s="455"/>
      <c r="I139" s="455"/>
      <c r="J139" s="455"/>
      <c r="K139" s="455"/>
      <c r="L139" s="455"/>
      <c r="M139" s="455"/>
      <c r="N139" s="455"/>
      <c r="O139" s="455"/>
    </row>
    <row r="140" spans="1:16">
      <c r="A140" s="423" t="s">
        <v>598</v>
      </c>
      <c r="B140" s="332"/>
      <c r="C140" s="332"/>
      <c r="D140" s="332"/>
      <c r="E140" s="332"/>
      <c r="F140" s="332"/>
      <c r="G140" s="340"/>
      <c r="H140" s="332"/>
      <c r="I140" s="332"/>
      <c r="J140" s="455"/>
      <c r="K140" s="455"/>
      <c r="L140" s="455"/>
      <c r="M140" s="455"/>
      <c r="N140" s="455"/>
      <c r="O140" s="455"/>
    </row>
    <row r="141" spans="1:16">
      <c r="A141" s="415" t="s">
        <v>493</v>
      </c>
      <c r="B141" s="452"/>
      <c r="C141" s="332"/>
      <c r="D141" s="332"/>
      <c r="E141" s="456"/>
      <c r="F141" s="340"/>
      <c r="G141" s="340"/>
      <c r="H141" s="332"/>
      <c r="I141" s="332"/>
      <c r="J141" s="455"/>
      <c r="K141" s="332"/>
      <c r="L141" s="455"/>
      <c r="M141" s="455"/>
      <c r="N141" s="455"/>
      <c r="O141" s="455"/>
    </row>
    <row r="142" spans="1:16">
      <c r="A142" s="415" t="s">
        <v>499</v>
      </c>
      <c r="B142" s="452"/>
      <c r="C142" s="452"/>
      <c r="D142" s="452"/>
      <c r="E142" s="456"/>
      <c r="F142" s="340"/>
      <c r="G142" s="340"/>
      <c r="H142" s="332"/>
      <c r="I142" s="332"/>
      <c r="J142" s="455"/>
      <c r="K142" s="455"/>
      <c r="L142" s="455"/>
      <c r="M142" s="455"/>
      <c r="N142" s="455"/>
      <c r="O142" s="455"/>
    </row>
    <row r="143" spans="1:16">
      <c r="A143" s="6" t="s">
        <v>630</v>
      </c>
      <c r="B143" s="452"/>
      <c r="C143" s="452"/>
      <c r="D143" s="452"/>
      <c r="E143" s="456"/>
      <c r="F143" s="340"/>
      <c r="G143" s="340"/>
      <c r="H143" s="332"/>
      <c r="I143" s="332"/>
      <c r="J143" s="455"/>
      <c r="K143" s="455"/>
      <c r="L143" s="455"/>
      <c r="M143" s="455"/>
      <c r="N143" s="455"/>
      <c r="O143" s="455"/>
    </row>
    <row r="144" spans="1:16">
      <c r="A144" s="6" t="s">
        <v>631</v>
      </c>
      <c r="B144" s="452"/>
      <c r="C144" s="452"/>
      <c r="D144" s="452"/>
      <c r="E144" s="456"/>
      <c r="F144" s="340"/>
      <c r="G144" s="340"/>
      <c r="H144" s="332"/>
      <c r="I144" s="332"/>
      <c r="J144" s="455"/>
      <c r="K144" s="455"/>
      <c r="L144" s="455"/>
      <c r="M144" s="455"/>
      <c r="N144" s="455"/>
      <c r="O144" s="455"/>
    </row>
    <row r="145" spans="1:15">
      <c r="A145" s="6" t="s">
        <v>632</v>
      </c>
      <c r="B145" s="452"/>
      <c r="C145" s="452"/>
      <c r="D145" s="452"/>
      <c r="E145" s="452"/>
      <c r="F145" s="455"/>
      <c r="G145" s="456"/>
      <c r="H145" s="340"/>
      <c r="I145" s="340"/>
      <c r="J145" s="332"/>
      <c r="K145" s="332"/>
      <c r="L145" s="340"/>
      <c r="M145" s="455"/>
      <c r="N145" s="455"/>
      <c r="O145" s="455"/>
    </row>
    <row r="146" spans="1:15">
      <c r="A146" s="412" t="s">
        <v>613</v>
      </c>
      <c r="B146" s="452"/>
      <c r="C146" s="452"/>
      <c r="D146" s="452"/>
      <c r="E146" s="452"/>
      <c r="F146" s="455"/>
      <c r="G146" s="456"/>
      <c r="H146" s="340">
        <v>100</v>
      </c>
      <c r="I146" s="340">
        <v>100</v>
      </c>
      <c r="J146" s="332"/>
      <c r="K146" s="455"/>
      <c r="L146" s="340"/>
      <c r="M146" s="455"/>
      <c r="N146" s="455"/>
      <c r="O146" s="455"/>
    </row>
    <row r="147" spans="1:15">
      <c r="A147" s="412" t="s">
        <v>614</v>
      </c>
      <c r="B147" s="452"/>
      <c r="C147" s="452"/>
      <c r="D147" s="452"/>
      <c r="E147" s="452"/>
      <c r="F147" s="455"/>
      <c r="G147" s="456"/>
      <c r="H147" s="340">
        <v>200</v>
      </c>
      <c r="I147" s="340">
        <v>200</v>
      </c>
      <c r="J147" s="332"/>
      <c r="K147" s="455"/>
      <c r="L147" s="340"/>
      <c r="M147" s="455"/>
      <c r="N147" s="455"/>
      <c r="O147" s="455"/>
    </row>
    <row r="148" spans="1:15">
      <c r="A148" s="6" t="s">
        <v>633</v>
      </c>
      <c r="B148" s="452">
        <f t="shared" ref="B148:O148" si="52">IF(OR(B18="A",B18="B"),B134,(B134-B146-B147)*B84)</f>
        <v>5000000</v>
      </c>
      <c r="C148" s="452">
        <f t="shared" si="52"/>
        <v>4500000</v>
      </c>
      <c r="D148" s="452">
        <f t="shared" si="52"/>
        <v>7000000</v>
      </c>
      <c r="E148" s="452">
        <f t="shared" si="52"/>
        <v>9000000</v>
      </c>
      <c r="F148" s="452">
        <f t="shared" si="52"/>
        <v>14000000</v>
      </c>
      <c r="G148" s="452">
        <f t="shared" si="52"/>
        <v>0</v>
      </c>
      <c r="H148" s="452">
        <f t="shared" si="52"/>
        <v>4700</v>
      </c>
      <c r="I148" s="452">
        <f t="shared" si="52"/>
        <v>3700</v>
      </c>
      <c r="J148" s="452">
        <f t="shared" si="52"/>
        <v>50000000</v>
      </c>
      <c r="K148" s="452">
        <f t="shared" si="52"/>
        <v>8000000</v>
      </c>
      <c r="L148" s="452">
        <f t="shared" si="52"/>
        <v>90000000</v>
      </c>
      <c r="M148" s="452">
        <f t="shared" si="52"/>
        <v>5000000</v>
      </c>
      <c r="N148" s="452">
        <f t="shared" si="52"/>
        <v>6500000</v>
      </c>
      <c r="O148" s="452">
        <f t="shared" si="52"/>
        <v>0</v>
      </c>
    </row>
    <row r="149" spans="1:15">
      <c r="A149" s="6" t="s">
        <v>635</v>
      </c>
      <c r="B149" s="452">
        <f t="shared" ref="B149:O149" si="53">IF(OR(B18="A",B18="B"),0,ROUND(B148*$B$5,0)+ROUND(B136*$B$5,0)+ROUND(B137*$B$5,0)+ROUND(B139*$B$5,0))</f>
        <v>0</v>
      </c>
      <c r="C149" s="452">
        <f t="shared" si="53"/>
        <v>0</v>
      </c>
      <c r="D149" s="452">
        <f t="shared" si="53"/>
        <v>0</v>
      </c>
      <c r="E149" s="452">
        <f t="shared" si="53"/>
        <v>0</v>
      </c>
      <c r="F149" s="452">
        <f t="shared" si="53"/>
        <v>0</v>
      </c>
      <c r="G149" s="452">
        <f t="shared" si="53"/>
        <v>0</v>
      </c>
      <c r="H149" s="452">
        <f t="shared" si="53"/>
        <v>145700000</v>
      </c>
      <c r="I149" s="452">
        <f t="shared" si="53"/>
        <v>86950000</v>
      </c>
      <c r="J149" s="452">
        <f t="shared" si="53"/>
        <v>0</v>
      </c>
      <c r="K149" s="452">
        <f t="shared" si="53"/>
        <v>0</v>
      </c>
      <c r="L149" s="452">
        <f t="shared" si="53"/>
        <v>0</v>
      </c>
      <c r="M149" s="452">
        <f t="shared" si="53"/>
        <v>0</v>
      </c>
      <c r="N149" s="452">
        <f t="shared" si="53"/>
        <v>0</v>
      </c>
      <c r="O149" s="452">
        <f t="shared" si="53"/>
        <v>0</v>
      </c>
    </row>
    <row r="150" spans="1:15">
      <c r="A150" s="6" t="s">
        <v>665</v>
      </c>
      <c r="B150" s="5">
        <v>0</v>
      </c>
      <c r="C150" s="5">
        <v>0</v>
      </c>
      <c r="D150" s="5">
        <v>0</v>
      </c>
      <c r="E150" s="5">
        <v>0</v>
      </c>
      <c r="F150" s="5">
        <v>0</v>
      </c>
      <c r="G150" s="5">
        <v>0</v>
      </c>
      <c r="H150" s="5">
        <v>0</v>
      </c>
      <c r="I150" s="5">
        <v>0</v>
      </c>
      <c r="J150" s="5">
        <v>0</v>
      </c>
      <c r="K150" s="5">
        <v>0</v>
      </c>
      <c r="L150" s="5">
        <v>0</v>
      </c>
      <c r="M150" s="5">
        <v>0</v>
      </c>
      <c r="N150" s="5">
        <v>0</v>
      </c>
      <c r="O150" s="5">
        <v>0</v>
      </c>
    </row>
  </sheetData>
  <mergeCells count="5">
    <mergeCell ref="G6:J6"/>
    <mergeCell ref="X6:AA6"/>
    <mergeCell ref="P7:P8"/>
    <mergeCell ref="X9:AA12"/>
    <mergeCell ref="X46:AA46"/>
  </mergeCells>
  <phoneticPr fontId="104" type="noConversion"/>
  <pageMargins left="0.75" right="0.75" top="1" bottom="1" header="0.5" footer="0.5"/>
  <pageSetup paperSize="9" orientation="portrait" verticalDpi="90" r:id="rId1"/>
  <headerFooter alignWithMargins="0"/>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125"/>
  <sheetViews>
    <sheetView workbookViewId="0">
      <pane xSplit="1" ySplit="9" topLeftCell="T28" activePane="bottomRight" state="frozen"/>
      <selection pane="topRight" activeCell="B1" sqref="B1"/>
      <selection pane="bottomLeft" activeCell="A10" sqref="A10"/>
      <selection pane="bottomRight" activeCell="AB37" sqref="AB37:AB38"/>
    </sheetView>
  </sheetViews>
  <sheetFormatPr defaultRowHeight="13.8"/>
  <cols>
    <col min="1" max="1" width="31" style="5" bestFit="1" customWidth="1"/>
    <col min="2" max="5" width="10.77734375" style="5" customWidth="1"/>
    <col min="6" max="8" width="10.77734375" customWidth="1"/>
    <col min="9" max="9" width="11.6640625" bestFit="1" customWidth="1"/>
    <col min="10" max="15" width="10.77734375" customWidth="1"/>
    <col min="16" max="16" width="12.6640625" bestFit="1" customWidth="1"/>
    <col min="17" max="18" width="12.77734375" customWidth="1"/>
    <col min="19" max="21" width="10.77734375" customWidth="1"/>
    <col min="22" max="26" width="9.33203125" style="5" customWidth="1"/>
    <col min="27" max="27" width="10.77734375" style="5" bestFit="1" customWidth="1"/>
    <col min="28" max="29" width="9.33203125" style="5" customWidth="1"/>
  </cols>
  <sheetData>
    <row r="1" spans="1:29" s="3" customFormat="1" ht="20.399999999999999">
      <c r="A1" s="110" t="s">
        <v>6</v>
      </c>
      <c r="B1" s="110"/>
      <c r="C1" s="110"/>
      <c r="D1" s="110"/>
      <c r="E1" s="110"/>
      <c r="F1" s="449"/>
      <c r="L1" s="8"/>
      <c r="X1" s="1"/>
      <c r="Y1" s="1"/>
      <c r="Z1" s="1"/>
      <c r="AA1" s="1"/>
      <c r="AB1" s="1"/>
      <c r="AC1" s="1"/>
    </row>
    <row r="2" spans="1:29" s="3" customFormat="1" ht="12.75" customHeight="1">
      <c r="B2" s="116"/>
      <c r="C2" s="116"/>
      <c r="D2" s="116"/>
      <c r="E2" s="115"/>
      <c r="V2" s="22"/>
      <c r="W2" s="22"/>
      <c r="X2" s="22"/>
      <c r="Y2" s="22"/>
      <c r="Z2" s="22"/>
      <c r="AA2" s="2"/>
      <c r="AC2" s="2"/>
    </row>
    <row r="3" spans="1:29" s="3" customFormat="1" ht="30">
      <c r="A3" s="112" t="s">
        <v>976</v>
      </c>
      <c r="B3" s="116"/>
      <c r="C3" s="116"/>
      <c r="D3" s="116"/>
      <c r="E3" s="112"/>
      <c r="V3" s="22"/>
      <c r="W3" s="22"/>
      <c r="X3" s="22"/>
      <c r="Y3" s="22"/>
      <c r="Z3" s="22"/>
      <c r="AA3" s="2"/>
      <c r="AC3" s="2"/>
    </row>
    <row r="4" spans="1:29" s="116" customFormat="1">
      <c r="A4" s="116" t="s">
        <v>541</v>
      </c>
      <c r="B4" s="367">
        <v>23205</v>
      </c>
    </row>
    <row r="5" spans="1:29" s="116" customFormat="1">
      <c r="A5" s="116" t="s">
        <v>1273</v>
      </c>
      <c r="B5" s="367">
        <v>23500</v>
      </c>
    </row>
    <row r="6" spans="1:29" s="3" customFormat="1" ht="18" customHeight="1">
      <c r="A6" s="327">
        <v>43616</v>
      </c>
      <c r="B6" s="116"/>
      <c r="C6" s="116"/>
      <c r="D6" s="116"/>
      <c r="G6" s="721" t="s">
        <v>52</v>
      </c>
      <c r="H6" s="721"/>
      <c r="I6" s="721"/>
      <c r="J6" s="721"/>
      <c r="V6" s="22"/>
      <c r="W6" s="22"/>
      <c r="X6" s="720" t="s">
        <v>65</v>
      </c>
      <c r="Y6" s="720"/>
      <c r="Z6" s="720"/>
      <c r="AA6" s="720"/>
      <c r="AB6" s="2"/>
      <c r="AC6" s="2"/>
    </row>
    <row r="7" spans="1:29" s="4" customFormat="1">
      <c r="A7" s="409"/>
      <c r="B7" s="323" t="s">
        <v>34</v>
      </c>
      <c r="C7" s="324" t="s">
        <v>35</v>
      </c>
      <c r="D7" s="324" t="s">
        <v>36</v>
      </c>
      <c r="E7" s="324" t="s">
        <v>37</v>
      </c>
      <c r="F7" s="324" t="s">
        <v>38</v>
      </c>
      <c r="G7" s="324" t="s">
        <v>39</v>
      </c>
      <c r="H7" s="324" t="s">
        <v>40</v>
      </c>
      <c r="I7" s="324" t="s">
        <v>41</v>
      </c>
      <c r="J7" s="324" t="s">
        <v>42</v>
      </c>
      <c r="K7" s="324" t="s">
        <v>43</v>
      </c>
      <c r="L7" s="324" t="s">
        <v>44</v>
      </c>
      <c r="M7" s="324" t="s">
        <v>45</v>
      </c>
      <c r="N7" s="324" t="s">
        <v>46</v>
      </c>
      <c r="O7" s="324" t="s">
        <v>47</v>
      </c>
      <c r="P7" s="731" t="s">
        <v>500</v>
      </c>
      <c r="Q7" s="349" t="s">
        <v>516</v>
      </c>
      <c r="R7" s="349" t="s">
        <v>517</v>
      </c>
      <c r="S7" s="349" t="s">
        <v>519</v>
      </c>
      <c r="T7" s="349" t="s">
        <v>521</v>
      </c>
      <c r="U7" s="349" t="s">
        <v>523</v>
      </c>
      <c r="V7" s="350"/>
      <c r="W7" s="351"/>
      <c r="X7" s="351"/>
      <c r="Y7" s="351"/>
      <c r="Z7" s="351"/>
      <c r="AA7" s="351"/>
      <c r="AB7" s="351"/>
      <c r="AC7" s="352"/>
    </row>
    <row r="8" spans="1:29" ht="15.6">
      <c r="A8" s="410"/>
      <c r="B8" s="117">
        <f>'New Hire'!C6</f>
        <v>91999901</v>
      </c>
      <c r="C8" s="339">
        <f>'New Hire'!D6</f>
        <v>91999902</v>
      </c>
      <c r="D8" s="339">
        <f>'New Hire'!E6</f>
        <v>91999903</v>
      </c>
      <c r="E8" s="339">
        <f>'New Hire'!F6</f>
        <v>91999904</v>
      </c>
      <c r="F8" s="339">
        <f>'New Hire'!G6</f>
        <v>91999905</v>
      </c>
      <c r="G8" s="339">
        <f>'New Hire'!H6</f>
        <v>91999906</v>
      </c>
      <c r="H8" s="339">
        <f>'New Hire'!I6</f>
        <v>91999907</v>
      </c>
      <c r="I8" s="339">
        <f>'New Hire'!J6</f>
        <v>91999908</v>
      </c>
      <c r="J8" s="339">
        <f>'New Hire'!K6</f>
        <v>91999909</v>
      </c>
      <c r="K8" s="339">
        <f>'New Hire'!L6</f>
        <v>91999910</v>
      </c>
      <c r="L8" s="339">
        <f>'New Hire'!M6</f>
        <v>91999911</v>
      </c>
      <c r="M8" s="339">
        <f>'New Hire'!N6</f>
        <v>91999912</v>
      </c>
      <c r="N8" s="339">
        <f>'New Hire'!O6</f>
        <v>91999913</v>
      </c>
      <c r="O8" s="339">
        <f>'New Hire'!P6</f>
        <v>91999914</v>
      </c>
      <c r="P8" s="732"/>
      <c r="Q8" s="349" t="s">
        <v>515</v>
      </c>
      <c r="R8" s="349" t="s">
        <v>518</v>
      </c>
      <c r="S8" s="349" t="s">
        <v>520</v>
      </c>
      <c r="T8" s="349" t="s">
        <v>522</v>
      </c>
      <c r="U8" s="349" t="s">
        <v>524</v>
      </c>
      <c r="V8" s="47"/>
      <c r="W8" s="48"/>
      <c r="X8" s="20"/>
      <c r="Y8" s="20"/>
      <c r="Z8" s="20"/>
      <c r="AA8" s="20"/>
      <c r="AB8" s="20"/>
      <c r="AC8" s="15"/>
    </row>
    <row r="9" spans="1:29" ht="12.75" customHeight="1">
      <c r="A9" s="411" t="s">
        <v>63</v>
      </c>
      <c r="B9" s="23"/>
      <c r="C9" s="19"/>
      <c r="D9" s="19"/>
      <c r="E9" s="20"/>
      <c r="F9" s="19"/>
      <c r="G9" s="19"/>
      <c r="H9" s="21"/>
      <c r="I9" s="19"/>
      <c r="J9" s="19"/>
      <c r="K9" s="20"/>
      <c r="L9" s="20"/>
      <c r="M9" s="20"/>
      <c r="N9" s="20"/>
      <c r="O9" s="15"/>
      <c r="P9" s="15"/>
      <c r="Q9" s="20"/>
      <c r="R9" s="20"/>
      <c r="S9" s="20"/>
      <c r="T9" s="20"/>
      <c r="U9" s="20"/>
      <c r="V9" s="25"/>
      <c r="W9" s="26"/>
      <c r="X9" s="722" t="s">
        <v>608</v>
      </c>
      <c r="Y9" s="723"/>
      <c r="Z9" s="723"/>
      <c r="AA9" s="724"/>
      <c r="AB9" s="27"/>
      <c r="AC9" s="18"/>
    </row>
    <row r="10" spans="1:29">
      <c r="A10" s="424" t="s">
        <v>480</v>
      </c>
      <c r="B10" s="385">
        <v>43586</v>
      </c>
      <c r="C10" s="385">
        <v>43586</v>
      </c>
      <c r="D10" s="385">
        <v>43586</v>
      </c>
      <c r="E10" s="385">
        <v>43586</v>
      </c>
      <c r="F10" s="385">
        <v>43586</v>
      </c>
      <c r="G10" s="385">
        <v>43586</v>
      </c>
      <c r="H10" s="385">
        <v>43586</v>
      </c>
      <c r="I10" s="385">
        <v>43586</v>
      </c>
      <c r="J10" s="385">
        <v>43586</v>
      </c>
      <c r="K10" s="385">
        <v>43586</v>
      </c>
      <c r="L10" s="385">
        <v>43586</v>
      </c>
      <c r="M10" s="385">
        <v>43586</v>
      </c>
      <c r="N10" s="385">
        <v>43586</v>
      </c>
      <c r="O10" s="386">
        <v>43586</v>
      </c>
      <c r="P10" s="15"/>
      <c r="Q10" s="20"/>
      <c r="R10" s="20"/>
      <c r="S10" s="20"/>
      <c r="T10" s="20"/>
      <c r="U10" s="20"/>
      <c r="V10" s="28"/>
      <c r="W10" s="29"/>
      <c r="X10" s="725"/>
      <c r="Y10" s="726"/>
      <c r="Z10" s="726"/>
      <c r="AA10" s="727"/>
      <c r="AB10" s="30"/>
      <c r="AC10" s="15"/>
    </row>
    <row r="11" spans="1:29" ht="12.75" customHeight="1">
      <c r="A11" s="99" t="s">
        <v>491</v>
      </c>
      <c r="B11" s="387" t="str">
        <f>'New Hire'!C10</f>
        <v>1</v>
      </c>
      <c r="C11" s="388" t="str">
        <f>'New Hire'!D10</f>
        <v>P</v>
      </c>
      <c r="D11" s="388" t="str">
        <f>'New Hire'!E10</f>
        <v>3</v>
      </c>
      <c r="E11" s="388" t="str">
        <f>'New Hire'!F10</f>
        <v>3</v>
      </c>
      <c r="F11" s="388">
        <f>'New Hire'!G10</f>
        <v>4</v>
      </c>
      <c r="G11" s="388" t="str">
        <f>'New Hire'!H10</f>
        <v>C</v>
      </c>
      <c r="H11" s="388" t="str">
        <f>'New Hire'!I10</f>
        <v>I</v>
      </c>
      <c r="I11" s="388" t="str">
        <f>'New Hire'!J10</f>
        <v>S</v>
      </c>
      <c r="J11" s="388" t="str">
        <f>'New Hire'!K10</f>
        <v>P</v>
      </c>
      <c r="K11" s="388" t="str">
        <f>'New Hire'!L10</f>
        <v>1</v>
      </c>
      <c r="L11" s="388" t="str">
        <f>'New Hire'!M10</f>
        <v>1</v>
      </c>
      <c r="M11" s="388">
        <f>'New Hire'!N10</f>
        <v>3</v>
      </c>
      <c r="N11" s="388">
        <f>'New Hire'!O10</f>
        <v>3</v>
      </c>
      <c r="O11" s="654" t="s">
        <v>1234</v>
      </c>
      <c r="P11" s="15"/>
      <c r="Q11" s="20"/>
      <c r="R11" s="20"/>
      <c r="S11" s="20"/>
      <c r="T11" s="20"/>
      <c r="U11" s="20"/>
      <c r="V11" s="32"/>
      <c r="W11" s="20"/>
      <c r="X11" s="725"/>
      <c r="Y11" s="726"/>
      <c r="Z11" s="726"/>
      <c r="AA11" s="727"/>
      <c r="AB11" s="20"/>
      <c r="AC11" s="15"/>
    </row>
    <row r="12" spans="1:29" ht="12.75" customHeight="1">
      <c r="A12" s="99" t="s">
        <v>492</v>
      </c>
      <c r="B12" s="390" t="str">
        <f>'New Hire'!C11</f>
        <v>;P</v>
      </c>
      <c r="C12" s="391" t="str">
        <f>'New Hire'!D11</f>
        <v>;A</v>
      </c>
      <c r="D12" s="391" t="str">
        <f>'New Hire'!E11</f>
        <v>;E</v>
      </c>
      <c r="E12" s="391" t="str">
        <f>'New Hire'!F11</f>
        <v>;I</v>
      </c>
      <c r="F12" s="391" t="str">
        <f>'New Hire'!G11</f>
        <v>;P</v>
      </c>
      <c r="G12" s="391" t="str">
        <f>'New Hire'!H11</f>
        <v>;A</v>
      </c>
      <c r="H12" s="391" t="str">
        <f>'New Hire'!I11</f>
        <v>;A</v>
      </c>
      <c r="I12" s="391" t="str">
        <f>'New Hire'!J11</f>
        <v>;V</v>
      </c>
      <c r="J12" s="391" t="str">
        <f>'New Hire'!K11</f>
        <v>;P</v>
      </c>
      <c r="K12" s="391" t="str">
        <f>'New Hire'!L11</f>
        <v>;A</v>
      </c>
      <c r="L12" s="391" t="str">
        <f>'New Hire'!M11</f>
        <v>;I</v>
      </c>
      <c r="M12" s="391" t="str">
        <f>'New Hire'!N11</f>
        <v>;P</v>
      </c>
      <c r="N12" s="391" t="str">
        <f>'New Hire'!O11</f>
        <v>;I</v>
      </c>
      <c r="O12" s="392" t="str">
        <f>'New Hire'!P11</f>
        <v>;I</v>
      </c>
      <c r="P12" s="15"/>
      <c r="Q12" s="20"/>
      <c r="R12" s="20"/>
      <c r="S12" s="20"/>
      <c r="T12" s="20"/>
      <c r="U12" s="20"/>
      <c r="V12" s="32"/>
      <c r="W12" s="20"/>
      <c r="X12" s="728"/>
      <c r="Y12" s="729"/>
      <c r="Z12" s="729"/>
      <c r="AA12" s="730"/>
      <c r="AB12" s="20"/>
      <c r="AC12" s="15"/>
    </row>
    <row r="13" spans="1:29">
      <c r="A13" s="100" t="s">
        <v>477</v>
      </c>
      <c r="B13" s="394">
        <f>'New Hire'!C26</f>
        <v>100</v>
      </c>
      <c r="C13" s="338">
        <f>'New Hire'!D26</f>
        <v>50</v>
      </c>
      <c r="D13" s="338">
        <f>'New Hire'!E26</f>
        <v>100</v>
      </c>
      <c r="E13" s="338">
        <f>'New Hire'!F26</f>
        <v>100</v>
      </c>
      <c r="F13" s="338">
        <f>'New Hire'!G26</f>
        <v>100</v>
      </c>
      <c r="G13" s="338">
        <f>'New Hire'!H26</f>
        <v>100</v>
      </c>
      <c r="H13" s="338">
        <f>'New Hire'!I26</f>
        <v>50</v>
      </c>
      <c r="I13" s="338">
        <f>'New Hire'!J26</f>
        <v>100</v>
      </c>
      <c r="J13" s="338">
        <f>'New Hire'!K26</f>
        <v>50</v>
      </c>
      <c r="K13" s="338">
        <f>'New Hire'!L26</f>
        <v>100</v>
      </c>
      <c r="L13" s="338">
        <f>'New Hire'!M26</f>
        <v>100</v>
      </c>
      <c r="M13" s="338">
        <f>'New Hire'!N26</f>
        <v>100</v>
      </c>
      <c r="N13" s="338">
        <f>'New Hire'!O26</f>
        <v>100</v>
      </c>
      <c r="O13" s="395">
        <f>'New Hire'!P26</f>
        <v>100</v>
      </c>
      <c r="P13" s="15"/>
      <c r="Q13" s="20"/>
      <c r="R13" s="20"/>
      <c r="S13" s="20"/>
      <c r="T13" s="20"/>
      <c r="U13" s="20"/>
      <c r="V13" s="23"/>
      <c r="W13" s="19"/>
      <c r="X13" s="19"/>
      <c r="Y13" s="19"/>
      <c r="Z13" s="19"/>
      <c r="AA13" s="19"/>
      <c r="AB13" s="19"/>
      <c r="AC13" s="31"/>
    </row>
    <row r="14" spans="1:29">
      <c r="A14" s="99" t="s">
        <v>481</v>
      </c>
      <c r="B14" s="394">
        <f t="shared" ref="B14:O14" si="0">NETWORKDAYS(B10,$A$6)</f>
        <v>23</v>
      </c>
      <c r="C14" s="338">
        <f t="shared" si="0"/>
        <v>23</v>
      </c>
      <c r="D14" s="338">
        <f t="shared" si="0"/>
        <v>23</v>
      </c>
      <c r="E14" s="338">
        <f t="shared" si="0"/>
        <v>23</v>
      </c>
      <c r="F14" s="338">
        <f t="shared" si="0"/>
        <v>23</v>
      </c>
      <c r="G14" s="338">
        <f t="shared" si="0"/>
        <v>23</v>
      </c>
      <c r="H14" s="338">
        <f t="shared" si="0"/>
        <v>23</v>
      </c>
      <c r="I14" s="338">
        <f t="shared" si="0"/>
        <v>23</v>
      </c>
      <c r="J14" s="338">
        <f t="shared" si="0"/>
        <v>23</v>
      </c>
      <c r="K14" s="338">
        <f t="shared" si="0"/>
        <v>23</v>
      </c>
      <c r="L14" s="338">
        <f t="shared" si="0"/>
        <v>23</v>
      </c>
      <c r="M14" s="338">
        <f t="shared" si="0"/>
        <v>23</v>
      </c>
      <c r="N14" s="338">
        <f t="shared" si="0"/>
        <v>23</v>
      </c>
      <c r="O14" s="395">
        <f t="shared" si="0"/>
        <v>23</v>
      </c>
      <c r="P14" s="15"/>
      <c r="Q14" s="20"/>
      <c r="R14" s="20"/>
      <c r="S14" s="20"/>
      <c r="T14" s="20"/>
      <c r="U14" s="20"/>
      <c r="V14" s="23"/>
      <c r="W14" s="19"/>
      <c r="X14" s="19"/>
      <c r="Y14" s="19"/>
      <c r="Z14" s="19"/>
      <c r="AA14" s="19"/>
      <c r="AB14" s="19"/>
      <c r="AC14" s="31"/>
    </row>
    <row r="15" spans="1:29">
      <c r="A15" s="424" t="s">
        <v>639</v>
      </c>
      <c r="B15" s="338">
        <f>NETWORKDAYS(EOMONTH($A$6,-1)+1,EOMONTH($A$6,0))</f>
        <v>23</v>
      </c>
      <c r="C15" s="338">
        <f t="shared" ref="C15:O15" si="1">NETWORKDAYS(EOMONTH($A$6,-1)+1,EOMONTH($A$6,0))</f>
        <v>23</v>
      </c>
      <c r="D15" s="338">
        <f t="shared" si="1"/>
        <v>23</v>
      </c>
      <c r="E15" s="338">
        <f t="shared" si="1"/>
        <v>23</v>
      </c>
      <c r="F15" s="338">
        <f t="shared" si="1"/>
        <v>23</v>
      </c>
      <c r="G15" s="338">
        <f t="shared" si="1"/>
        <v>23</v>
      </c>
      <c r="H15" s="338">
        <f t="shared" si="1"/>
        <v>23</v>
      </c>
      <c r="I15" s="338">
        <f t="shared" si="1"/>
        <v>23</v>
      </c>
      <c r="J15" s="338">
        <f t="shared" si="1"/>
        <v>23</v>
      </c>
      <c r="K15" s="338">
        <f t="shared" si="1"/>
        <v>23</v>
      </c>
      <c r="L15" s="338">
        <f t="shared" si="1"/>
        <v>23</v>
      </c>
      <c r="M15" s="338">
        <f t="shared" si="1"/>
        <v>23</v>
      </c>
      <c r="N15" s="338">
        <f t="shared" si="1"/>
        <v>23</v>
      </c>
      <c r="O15" s="395">
        <f t="shared" si="1"/>
        <v>23</v>
      </c>
      <c r="P15" s="15"/>
      <c r="Q15" s="20"/>
      <c r="R15" s="20"/>
      <c r="S15" s="20"/>
      <c r="T15" s="20"/>
      <c r="U15" s="20"/>
      <c r="V15" s="23"/>
      <c r="W15" s="19"/>
      <c r="X15" s="19"/>
      <c r="Y15" s="19"/>
      <c r="Z15" s="19"/>
      <c r="AA15" s="19"/>
      <c r="AB15" s="19"/>
      <c r="AC15" s="31"/>
    </row>
    <row r="16" spans="1:29">
      <c r="A16" s="99" t="s">
        <v>513</v>
      </c>
      <c r="B16" s="396">
        <f t="shared" ref="B16:O16" si="2">_xlfn.DAYS($A$6,B10)+1</f>
        <v>31</v>
      </c>
      <c r="C16" s="335">
        <f t="shared" si="2"/>
        <v>31</v>
      </c>
      <c r="D16" s="335">
        <f t="shared" si="2"/>
        <v>31</v>
      </c>
      <c r="E16" s="335">
        <f t="shared" si="2"/>
        <v>31</v>
      </c>
      <c r="F16" s="335">
        <f t="shared" si="2"/>
        <v>31</v>
      </c>
      <c r="G16" s="335">
        <f t="shared" si="2"/>
        <v>31</v>
      </c>
      <c r="H16" s="335">
        <f t="shared" si="2"/>
        <v>31</v>
      </c>
      <c r="I16" s="335">
        <f t="shared" si="2"/>
        <v>31</v>
      </c>
      <c r="J16" s="335">
        <f t="shared" si="2"/>
        <v>31</v>
      </c>
      <c r="K16" s="335">
        <f t="shared" si="2"/>
        <v>31</v>
      </c>
      <c r="L16" s="335">
        <f t="shared" si="2"/>
        <v>31</v>
      </c>
      <c r="M16" s="335">
        <f t="shared" si="2"/>
        <v>31</v>
      </c>
      <c r="N16" s="335">
        <f t="shared" si="2"/>
        <v>31</v>
      </c>
      <c r="O16" s="397">
        <f t="shared" si="2"/>
        <v>31</v>
      </c>
      <c r="P16" s="15"/>
      <c r="Q16" s="20"/>
      <c r="R16" s="20"/>
      <c r="S16" s="20"/>
      <c r="T16" s="20"/>
      <c r="U16" s="20"/>
      <c r="V16" s="23"/>
      <c r="W16" s="19"/>
      <c r="X16" s="19"/>
      <c r="Y16" s="19"/>
      <c r="Z16" s="19"/>
      <c r="AA16" s="19"/>
      <c r="AB16" s="19"/>
      <c r="AC16" s="31"/>
    </row>
    <row r="17" spans="1:29">
      <c r="A17" s="99" t="s">
        <v>533</v>
      </c>
      <c r="B17" s="336">
        <f>DATEDIF('New Hire'!C41,$A$6,"Y")</f>
        <v>9</v>
      </c>
      <c r="C17" s="337">
        <f>DATEDIF('New Hire'!D41,$A$6,"Y")</f>
        <v>13</v>
      </c>
      <c r="D17" s="337">
        <f>DATEDIF('New Hire'!E41,$A$6,"Y")</f>
        <v>0</v>
      </c>
      <c r="E17" s="337">
        <f>DATEDIF('New Hire'!F41,$A$6,"Y")</f>
        <v>4</v>
      </c>
      <c r="F17" s="337">
        <f>DATEDIF('New Hire'!G41,$A$6,"Y")</f>
        <v>9</v>
      </c>
      <c r="G17" s="337">
        <f>DATEDIF('New Hire'!H41,$A$6,"Y")</f>
        <v>0</v>
      </c>
      <c r="H17" s="337">
        <f>DATEDIF('New Hire'!I41,$A$6,"Y")</f>
        <v>14</v>
      </c>
      <c r="I17" s="337">
        <f>DATEDIF('New Hire'!J41,$A$6,"Y")</f>
        <v>0</v>
      </c>
      <c r="J17" s="337">
        <f>DATEDIF('New Hire'!K41,$A$6,"Y")</f>
        <v>0</v>
      </c>
      <c r="K17" s="337">
        <f>DATEDIF('New Hire'!L41,$A$6,"Y")</f>
        <v>9</v>
      </c>
      <c r="L17" s="337">
        <f>DATEDIF('New Hire'!M41,$A$6,"Y")</f>
        <v>4</v>
      </c>
      <c r="M17" s="337">
        <f>DATEDIF('New Hire'!N41,$A$6,"Y")</f>
        <v>0</v>
      </c>
      <c r="N17" s="337">
        <f>DATEDIF('New Hire'!O41,$A$6,"Y")</f>
        <v>11</v>
      </c>
      <c r="O17" s="393">
        <f>DATEDIF('New Hire'!P41,$A$6,"Y")</f>
        <v>0</v>
      </c>
      <c r="P17" s="15"/>
      <c r="Q17" s="20"/>
      <c r="R17" s="20"/>
      <c r="S17" s="20"/>
      <c r="T17" s="20"/>
      <c r="U17" s="20"/>
      <c r="V17" s="23"/>
      <c r="W17" s="19"/>
      <c r="X17" s="19"/>
      <c r="Y17" s="19"/>
      <c r="Z17" s="19"/>
      <c r="AA17" s="19"/>
      <c r="AB17" s="19"/>
      <c r="AC17" s="31"/>
    </row>
    <row r="18" spans="1:29">
      <c r="A18" s="99" t="s">
        <v>566</v>
      </c>
      <c r="B18" s="336" t="str">
        <f>'New Hire'!C54</f>
        <v>A</v>
      </c>
      <c r="C18" s="337" t="str">
        <f>'New Hire'!D54</f>
        <v>A</v>
      </c>
      <c r="D18" s="337" t="str">
        <f>'New Hire'!E54</f>
        <v>A</v>
      </c>
      <c r="E18" s="337" t="str">
        <f>'New Hire'!F54</f>
        <v>B</v>
      </c>
      <c r="F18" s="337" t="str">
        <f>'New Hire'!G54</f>
        <v>B</v>
      </c>
      <c r="G18" s="337" t="str">
        <f>'New Hire'!H54</f>
        <v>C</v>
      </c>
      <c r="H18" s="337" t="str">
        <f>'New Hire'!I54</f>
        <v>D</v>
      </c>
      <c r="I18" s="337" t="str">
        <f>'New Hire'!J54</f>
        <v>D</v>
      </c>
      <c r="J18" s="337" t="str">
        <f>'New Hire'!K54</f>
        <v>A</v>
      </c>
      <c r="K18" s="337" t="str">
        <f>'New Hire'!L54</f>
        <v>A</v>
      </c>
      <c r="L18" s="337" t="str">
        <f>'New Hire'!M54</f>
        <v>A</v>
      </c>
      <c r="M18" s="337" t="str">
        <f>'New Hire'!N54</f>
        <v>A</v>
      </c>
      <c r="N18" s="337" t="str">
        <f>'New Hire'!O54</f>
        <v>A</v>
      </c>
      <c r="O18" s="393" t="str">
        <f>'New Hire'!P54</f>
        <v>B</v>
      </c>
      <c r="P18" s="15"/>
      <c r="Q18" s="20"/>
      <c r="R18" s="20"/>
      <c r="S18" s="20"/>
      <c r="T18" s="20"/>
      <c r="U18" s="20"/>
      <c r="V18" s="23"/>
      <c r="W18" s="19"/>
      <c r="X18" s="19"/>
      <c r="Y18" s="19"/>
      <c r="Z18" s="19"/>
      <c r="AA18" s="19"/>
      <c r="AB18" s="19"/>
      <c r="AC18" s="31"/>
    </row>
    <row r="19" spans="1:29">
      <c r="A19" s="98" t="s">
        <v>107</v>
      </c>
      <c r="B19" s="91">
        <v>1</v>
      </c>
      <c r="C19" s="89">
        <v>2</v>
      </c>
      <c r="D19" s="89">
        <v>1</v>
      </c>
      <c r="E19" s="89">
        <v>3</v>
      </c>
      <c r="F19" s="89">
        <v>0</v>
      </c>
      <c r="G19" s="89">
        <v>0</v>
      </c>
      <c r="H19" s="89">
        <v>2</v>
      </c>
      <c r="I19" s="89">
        <v>0</v>
      </c>
      <c r="J19" s="89">
        <v>0</v>
      </c>
      <c r="K19" s="89">
        <v>0</v>
      </c>
      <c r="L19" s="89">
        <v>0</v>
      </c>
      <c r="M19" s="89">
        <v>0</v>
      </c>
      <c r="N19" s="89">
        <v>0</v>
      </c>
      <c r="O19" s="398">
        <v>0</v>
      </c>
      <c r="P19" s="15"/>
      <c r="Q19" s="20"/>
      <c r="R19" s="20"/>
      <c r="S19" s="20"/>
      <c r="T19" s="20"/>
      <c r="U19" s="20"/>
      <c r="V19" s="23"/>
      <c r="W19" s="19"/>
      <c r="X19" s="19"/>
      <c r="Y19" s="19"/>
      <c r="Z19" s="19"/>
      <c r="AA19" s="19"/>
      <c r="AB19" s="19"/>
      <c r="AC19" s="31"/>
    </row>
    <row r="20" spans="1:29" ht="15.6">
      <c r="A20" s="97" t="s">
        <v>113</v>
      </c>
      <c r="B20" s="325">
        <f>3600000*B19</f>
        <v>3600000</v>
      </c>
      <c r="C20" s="90">
        <f t="shared" ref="C20:O20" si="3">3600000*C19</f>
        <v>7200000</v>
      </c>
      <c r="D20" s="90">
        <f t="shared" si="3"/>
        <v>3600000</v>
      </c>
      <c r="E20" s="90">
        <f t="shared" si="3"/>
        <v>10800000</v>
      </c>
      <c r="F20" s="90">
        <f t="shared" si="3"/>
        <v>0</v>
      </c>
      <c r="G20" s="90">
        <f t="shared" si="3"/>
        <v>0</v>
      </c>
      <c r="H20" s="90">
        <f t="shared" si="3"/>
        <v>7200000</v>
      </c>
      <c r="I20" s="90">
        <f t="shared" si="3"/>
        <v>0</v>
      </c>
      <c r="J20" s="90">
        <f t="shared" si="3"/>
        <v>0</v>
      </c>
      <c r="K20" s="90">
        <f t="shared" si="3"/>
        <v>0</v>
      </c>
      <c r="L20" s="90">
        <f t="shared" si="3"/>
        <v>0</v>
      </c>
      <c r="M20" s="90">
        <f t="shared" si="3"/>
        <v>0</v>
      </c>
      <c r="N20" s="90">
        <f t="shared" si="3"/>
        <v>0</v>
      </c>
      <c r="O20" s="399">
        <f t="shared" si="3"/>
        <v>0</v>
      </c>
      <c r="P20" s="15"/>
      <c r="Q20" s="20"/>
      <c r="R20" s="20"/>
      <c r="S20" s="20"/>
      <c r="T20" s="20"/>
      <c r="U20" s="20"/>
      <c r="V20" s="40"/>
      <c r="W20" s="41"/>
      <c r="X20" s="19"/>
      <c r="Y20" s="19"/>
      <c r="Z20" s="19"/>
      <c r="AA20" s="19"/>
      <c r="AB20" s="16"/>
      <c r="AC20" s="17"/>
    </row>
    <row r="21" spans="1:29">
      <c r="A21" s="97" t="s">
        <v>114</v>
      </c>
      <c r="B21" s="326">
        <v>9000000</v>
      </c>
      <c r="C21" s="90">
        <v>9000000</v>
      </c>
      <c r="D21" s="90">
        <v>9000000</v>
      </c>
      <c r="E21" s="90">
        <v>9000000</v>
      </c>
      <c r="F21" s="90">
        <v>9000000</v>
      </c>
      <c r="G21" s="90">
        <v>9000000</v>
      </c>
      <c r="H21" s="90">
        <v>9000000</v>
      </c>
      <c r="I21" s="90">
        <v>9000000</v>
      </c>
      <c r="J21" s="90">
        <v>9000000</v>
      </c>
      <c r="K21" s="90">
        <v>9000000</v>
      </c>
      <c r="L21" s="90">
        <v>9000000</v>
      </c>
      <c r="M21" s="90">
        <v>9000000</v>
      </c>
      <c r="N21" s="90">
        <v>9000000</v>
      </c>
      <c r="O21" s="399">
        <v>9000000</v>
      </c>
      <c r="P21" s="15"/>
      <c r="Q21" s="20"/>
      <c r="R21" s="20"/>
      <c r="S21" s="20"/>
      <c r="T21" s="20"/>
      <c r="U21" s="20"/>
      <c r="V21" s="50"/>
      <c r="W21" s="44"/>
      <c r="X21" s="44"/>
      <c r="Y21" s="44"/>
      <c r="Z21" s="44"/>
      <c r="AA21" s="44"/>
      <c r="AB21" s="44"/>
      <c r="AC21" s="51"/>
    </row>
    <row r="22" spans="1:29" ht="15.6">
      <c r="A22" s="413" t="s">
        <v>53</v>
      </c>
      <c r="B22" s="64"/>
      <c r="C22" s="65"/>
      <c r="D22" s="65"/>
      <c r="E22" s="66"/>
      <c r="F22" s="65"/>
      <c r="G22" s="65"/>
      <c r="H22" s="21"/>
      <c r="I22" s="65"/>
      <c r="J22" s="65"/>
      <c r="K22" s="66"/>
      <c r="L22" s="66"/>
      <c r="M22" s="66"/>
      <c r="N22" s="66"/>
      <c r="O22" s="382"/>
      <c r="P22" s="382"/>
      <c r="Q22" s="66"/>
      <c r="R22" s="66"/>
      <c r="S22" s="66"/>
      <c r="T22" s="66"/>
      <c r="U22" s="66"/>
      <c r="V22" s="118" t="s">
        <v>57</v>
      </c>
      <c r="W22" s="119" t="s">
        <v>67</v>
      </c>
      <c r="X22" s="119" t="s">
        <v>69</v>
      </c>
      <c r="Y22" s="119" t="s">
        <v>70</v>
      </c>
      <c r="Z22" s="119" t="s">
        <v>56</v>
      </c>
      <c r="AA22" s="119" t="s">
        <v>54</v>
      </c>
      <c r="AB22" s="119" t="s">
        <v>58</v>
      </c>
      <c r="AC22" s="120" t="s">
        <v>59</v>
      </c>
    </row>
    <row r="23" spans="1:29">
      <c r="A23" s="414" t="s">
        <v>55</v>
      </c>
      <c r="B23" s="64"/>
      <c r="C23" s="65"/>
      <c r="D23" s="65"/>
      <c r="E23" s="66"/>
      <c r="F23" s="65"/>
      <c r="G23" s="65"/>
      <c r="H23" s="21"/>
      <c r="I23" s="65"/>
      <c r="J23" s="65"/>
      <c r="K23" s="66"/>
      <c r="L23" s="66"/>
      <c r="M23" s="66"/>
      <c r="N23" s="66"/>
      <c r="O23" s="382"/>
      <c r="P23" s="382"/>
      <c r="Q23" s="66"/>
      <c r="R23" s="66"/>
      <c r="S23" s="66"/>
      <c r="T23" s="66"/>
      <c r="U23" s="66"/>
      <c r="V23" s="356" t="s">
        <v>2</v>
      </c>
      <c r="W23" s="357">
        <v>91999901</v>
      </c>
      <c r="X23" s="358" t="s">
        <v>507</v>
      </c>
      <c r="Y23" s="358" t="s">
        <v>508</v>
      </c>
      <c r="Z23" s="359" t="s">
        <v>509</v>
      </c>
      <c r="AA23" s="360">
        <v>8000000</v>
      </c>
      <c r="AB23" s="358"/>
      <c r="AC23" s="361"/>
    </row>
    <row r="24" spans="1:29">
      <c r="A24" s="445" t="s">
        <v>479</v>
      </c>
      <c r="B24" s="332">
        <f t="shared" ref="B24:O24" si="4">IF(OR(B18="A",B18="B"),IF(B11&lt;&gt;"C",ROUND(B109*B73,0),0),IF(B11&lt;&gt;"C",ROUND(B123*$B$4,0),0))</f>
        <v>5000000</v>
      </c>
      <c r="C24" s="332">
        <f t="shared" si="4"/>
        <v>4500000</v>
      </c>
      <c r="D24" s="332">
        <f t="shared" si="4"/>
        <v>7000000</v>
      </c>
      <c r="E24" s="332">
        <f t="shared" si="4"/>
        <v>9000000</v>
      </c>
      <c r="F24" s="332">
        <f t="shared" si="4"/>
        <v>14000000</v>
      </c>
      <c r="G24" s="332">
        <f t="shared" si="4"/>
        <v>0</v>
      </c>
      <c r="H24" s="332">
        <f t="shared" si="4"/>
        <v>109063500</v>
      </c>
      <c r="I24" s="332">
        <f t="shared" si="4"/>
        <v>85858500</v>
      </c>
      <c r="J24" s="332">
        <f t="shared" si="4"/>
        <v>50000000</v>
      </c>
      <c r="K24" s="332">
        <f t="shared" si="4"/>
        <v>8000000</v>
      </c>
      <c r="L24" s="332">
        <f t="shared" si="4"/>
        <v>90000000</v>
      </c>
      <c r="M24" s="332">
        <f t="shared" si="4"/>
        <v>5000000</v>
      </c>
      <c r="N24" s="332">
        <f t="shared" si="4"/>
        <v>6500000</v>
      </c>
      <c r="O24" s="332">
        <f t="shared" si="4"/>
        <v>6000000</v>
      </c>
      <c r="P24" s="355">
        <f t="shared" ref="P24:P27" si="5">SUM(B24:O24)</f>
        <v>399922000</v>
      </c>
      <c r="Q24" s="90" t="s">
        <v>525</v>
      </c>
      <c r="R24" s="90" t="s">
        <v>525</v>
      </c>
      <c r="S24" s="90" t="s">
        <v>525</v>
      </c>
      <c r="T24" s="90" t="s">
        <v>525</v>
      </c>
      <c r="U24" s="90" t="s">
        <v>525</v>
      </c>
      <c r="V24" s="356" t="s">
        <v>2</v>
      </c>
      <c r="W24" s="357">
        <v>91999902</v>
      </c>
      <c r="X24" s="358" t="s">
        <v>507</v>
      </c>
      <c r="Y24" s="358" t="s">
        <v>508</v>
      </c>
      <c r="Z24" s="359" t="s">
        <v>509</v>
      </c>
      <c r="AA24" s="360">
        <v>8000000</v>
      </c>
      <c r="AB24" s="358"/>
      <c r="AC24" s="361"/>
    </row>
    <row r="25" spans="1:29">
      <c r="A25" s="451" t="s">
        <v>496</v>
      </c>
      <c r="B25" s="332">
        <f t="shared" ref="B25:O25" si="6">IF(OR(B18="A",B18="B"),ROUND(B111*B73,0),ROUND(B111*B73*$B$4,0))</f>
        <v>500000</v>
      </c>
      <c r="C25" s="332">
        <f t="shared" si="6"/>
        <v>450000</v>
      </c>
      <c r="D25" s="332">
        <f t="shared" si="6"/>
        <v>700000</v>
      </c>
      <c r="E25" s="332">
        <f t="shared" si="6"/>
        <v>0</v>
      </c>
      <c r="F25" s="332">
        <f t="shared" si="6"/>
        <v>0</v>
      </c>
      <c r="G25" s="332">
        <f t="shared" si="6"/>
        <v>0</v>
      </c>
      <c r="H25" s="332">
        <f t="shared" si="6"/>
        <v>11602500</v>
      </c>
      <c r="I25" s="332">
        <f t="shared" si="6"/>
        <v>0</v>
      </c>
      <c r="J25" s="332">
        <f t="shared" si="6"/>
        <v>5000000</v>
      </c>
      <c r="K25" s="332">
        <f t="shared" si="6"/>
        <v>800000</v>
      </c>
      <c r="L25" s="332">
        <f t="shared" si="6"/>
        <v>0</v>
      </c>
      <c r="M25" s="332">
        <f t="shared" si="6"/>
        <v>1000000</v>
      </c>
      <c r="N25" s="332">
        <f t="shared" si="6"/>
        <v>1000000</v>
      </c>
      <c r="O25" s="400">
        <f t="shared" si="6"/>
        <v>0</v>
      </c>
      <c r="P25" s="355">
        <f t="shared" si="5"/>
        <v>21052500</v>
      </c>
      <c r="Q25" s="379" t="s">
        <v>525</v>
      </c>
      <c r="R25" s="379" t="s">
        <v>525</v>
      </c>
      <c r="S25" s="379" t="s">
        <v>525</v>
      </c>
      <c r="T25" s="379" t="s">
        <v>525</v>
      </c>
      <c r="U25" s="90" t="s">
        <v>525</v>
      </c>
      <c r="V25" s="356" t="s">
        <v>2</v>
      </c>
      <c r="W25" s="357">
        <v>91999904</v>
      </c>
      <c r="X25" s="358" t="s">
        <v>511</v>
      </c>
      <c r="Y25" s="358" t="s">
        <v>508</v>
      </c>
      <c r="Z25" s="359" t="s">
        <v>509</v>
      </c>
      <c r="AA25" s="360">
        <v>8000000</v>
      </c>
      <c r="AB25" s="358"/>
      <c r="AC25" s="361"/>
    </row>
    <row r="26" spans="1:29">
      <c r="A26" s="451" t="s">
        <v>569</v>
      </c>
      <c r="B26" s="332">
        <f t="shared" ref="B26:O26" si="7">IF(OR(B18="A",B18="B"),ROUND(B112*B73,0),ROUND(B112*B73*$B$4,0))</f>
        <v>1000000</v>
      </c>
      <c r="C26" s="332">
        <f t="shared" si="7"/>
        <v>900000</v>
      </c>
      <c r="D26" s="332">
        <f t="shared" si="7"/>
        <v>1400000</v>
      </c>
      <c r="E26" s="332">
        <f t="shared" si="7"/>
        <v>0</v>
      </c>
      <c r="F26" s="332">
        <f t="shared" si="7"/>
        <v>0</v>
      </c>
      <c r="G26" s="332">
        <f t="shared" si="7"/>
        <v>0</v>
      </c>
      <c r="H26" s="332">
        <f t="shared" si="7"/>
        <v>23205000</v>
      </c>
      <c r="I26" s="332">
        <f t="shared" si="7"/>
        <v>0</v>
      </c>
      <c r="J26" s="332">
        <f t="shared" si="7"/>
        <v>10000000</v>
      </c>
      <c r="K26" s="332">
        <f t="shared" si="7"/>
        <v>1600000</v>
      </c>
      <c r="L26" s="332">
        <f t="shared" si="7"/>
        <v>0</v>
      </c>
      <c r="M26" s="332">
        <f t="shared" si="7"/>
        <v>1500000</v>
      </c>
      <c r="N26" s="332">
        <f t="shared" si="7"/>
        <v>1500000</v>
      </c>
      <c r="O26" s="400">
        <f t="shared" si="7"/>
        <v>0</v>
      </c>
      <c r="P26" s="355">
        <f t="shared" si="5"/>
        <v>41105000</v>
      </c>
      <c r="Q26" s="379" t="s">
        <v>525</v>
      </c>
      <c r="R26" s="379" t="s">
        <v>525</v>
      </c>
      <c r="S26" s="379" t="s">
        <v>525</v>
      </c>
      <c r="T26" s="379" t="s">
        <v>525</v>
      </c>
      <c r="U26" s="90" t="s">
        <v>525</v>
      </c>
      <c r="V26" s="356" t="s">
        <v>2</v>
      </c>
      <c r="W26" s="357">
        <v>91999905</v>
      </c>
      <c r="X26" s="358" t="s">
        <v>507</v>
      </c>
      <c r="Y26" s="358" t="s">
        <v>508</v>
      </c>
      <c r="Z26" s="359" t="s">
        <v>509</v>
      </c>
      <c r="AA26" s="360">
        <v>8000000</v>
      </c>
      <c r="AB26" s="358"/>
      <c r="AC26" s="361"/>
    </row>
    <row r="27" spans="1:29">
      <c r="A27" s="412" t="s">
        <v>427</v>
      </c>
      <c r="B27" s="331"/>
      <c r="C27" s="332"/>
      <c r="D27" s="332"/>
      <c r="E27" s="340"/>
      <c r="F27" s="332"/>
      <c r="G27" s="332">
        <f>ROUND(G110*B4,0)*AC55+ROUND(G110*B4,0)*AC56+ROUND(G110*B4,0)*AC57+ROUND(G110*B4,0)*AC58</f>
        <v>46410000</v>
      </c>
      <c r="H27" s="332"/>
      <c r="I27" s="332"/>
      <c r="J27" s="332"/>
      <c r="K27" s="340"/>
      <c r="L27" s="340"/>
      <c r="M27" s="340"/>
      <c r="N27" s="340"/>
      <c r="O27" s="401"/>
      <c r="P27" s="355">
        <f t="shared" si="5"/>
        <v>46410000</v>
      </c>
      <c r="Q27" s="379" t="s">
        <v>525</v>
      </c>
      <c r="R27" s="379" t="s">
        <v>525</v>
      </c>
      <c r="S27" s="379"/>
      <c r="T27" s="379"/>
      <c r="U27" s="379"/>
      <c r="V27" s="356" t="s">
        <v>2</v>
      </c>
      <c r="W27" s="357">
        <v>91999906</v>
      </c>
      <c r="X27" s="358" t="s">
        <v>507</v>
      </c>
      <c r="Y27" s="358" t="s">
        <v>508</v>
      </c>
      <c r="Z27" s="359" t="s">
        <v>509</v>
      </c>
      <c r="AA27" s="360">
        <v>8000000</v>
      </c>
      <c r="AB27" s="358"/>
      <c r="AC27" s="361"/>
    </row>
    <row r="28" spans="1:29">
      <c r="A28" s="412"/>
      <c r="B28" s="331"/>
      <c r="C28" s="332"/>
      <c r="D28" s="332"/>
      <c r="E28" s="332"/>
      <c r="F28" s="332"/>
      <c r="G28" s="332"/>
      <c r="H28" s="332"/>
      <c r="I28" s="332"/>
      <c r="J28" s="332"/>
      <c r="K28" s="332"/>
      <c r="L28" s="332"/>
      <c r="M28" s="332"/>
      <c r="N28" s="332"/>
      <c r="O28" s="400"/>
      <c r="P28" s="355"/>
      <c r="Q28" s="379"/>
      <c r="R28" s="379"/>
      <c r="S28" s="379"/>
      <c r="T28" s="379"/>
      <c r="U28" s="379"/>
      <c r="V28" s="356" t="s">
        <v>2</v>
      </c>
      <c r="W28" s="357">
        <v>91999901</v>
      </c>
      <c r="X28" s="358" t="s">
        <v>507</v>
      </c>
      <c r="Y28" s="358" t="s">
        <v>508</v>
      </c>
      <c r="Z28" s="359" t="s">
        <v>537</v>
      </c>
      <c r="AA28" s="360">
        <v>7000000</v>
      </c>
      <c r="AB28" s="358"/>
      <c r="AC28" s="361"/>
    </row>
    <row r="29" spans="1:29">
      <c r="A29" s="416" t="s">
        <v>572</v>
      </c>
      <c r="B29" s="331"/>
      <c r="C29" s="332"/>
      <c r="D29" s="332"/>
      <c r="E29" s="340"/>
      <c r="F29" s="332"/>
      <c r="G29" s="332"/>
      <c r="H29" s="332"/>
      <c r="I29" s="332"/>
      <c r="J29" s="332"/>
      <c r="K29" s="340"/>
      <c r="L29" s="340"/>
      <c r="M29" s="340"/>
      <c r="N29" s="340"/>
      <c r="O29" s="401"/>
      <c r="P29" s="355"/>
      <c r="Q29" s="379"/>
      <c r="R29" s="379"/>
      <c r="S29" s="379"/>
      <c r="T29" s="379"/>
      <c r="U29" s="379"/>
      <c r="V29" s="356" t="s">
        <v>2</v>
      </c>
      <c r="W29" s="357">
        <v>91999902</v>
      </c>
      <c r="X29" s="358" t="s">
        <v>507</v>
      </c>
      <c r="Y29" s="358" t="s">
        <v>508</v>
      </c>
      <c r="Z29" s="359" t="s">
        <v>537</v>
      </c>
      <c r="AA29" s="360">
        <v>7000000</v>
      </c>
      <c r="AB29" s="358"/>
      <c r="AC29" s="361"/>
    </row>
    <row r="30" spans="1:29">
      <c r="A30" s="445" t="s">
        <v>512</v>
      </c>
      <c r="B30" s="332">
        <f t="shared" ref="B30:N30" si="8">IF(OR(B18="A",B18="B"),B76,ROUND(B76*B13%,0))</f>
        <v>679452</v>
      </c>
      <c r="C30" s="332">
        <f t="shared" si="8"/>
        <v>679452</v>
      </c>
      <c r="D30" s="332">
        <f t="shared" si="8"/>
        <v>0</v>
      </c>
      <c r="E30" s="332">
        <f t="shared" si="8"/>
        <v>679452</v>
      </c>
      <c r="F30" s="332">
        <f t="shared" si="8"/>
        <v>679452</v>
      </c>
      <c r="G30" s="332">
        <f t="shared" si="8"/>
        <v>0</v>
      </c>
      <c r="H30" s="332">
        <f t="shared" si="8"/>
        <v>339726</v>
      </c>
      <c r="I30" s="332">
        <f t="shared" si="8"/>
        <v>0</v>
      </c>
      <c r="J30" s="332">
        <f t="shared" si="8"/>
        <v>0</v>
      </c>
      <c r="K30" s="332">
        <f t="shared" si="8"/>
        <v>0</v>
      </c>
      <c r="L30" s="332">
        <f t="shared" si="8"/>
        <v>0</v>
      </c>
      <c r="M30" s="332">
        <f t="shared" si="8"/>
        <v>0</v>
      </c>
      <c r="N30" s="332">
        <f t="shared" si="8"/>
        <v>0</v>
      </c>
      <c r="O30" s="401"/>
      <c r="P30" s="346">
        <f>SUM(B30:O30)</f>
        <v>3057534</v>
      </c>
      <c r="Q30" s="379"/>
      <c r="R30" s="379" t="s">
        <v>597</v>
      </c>
      <c r="S30" s="379"/>
      <c r="T30" s="379"/>
      <c r="U30" s="379"/>
      <c r="V30" s="356" t="s">
        <v>2</v>
      </c>
      <c r="W30" s="357">
        <v>91999904</v>
      </c>
      <c r="X30" s="358" t="s">
        <v>511</v>
      </c>
      <c r="Y30" s="358" t="s">
        <v>508</v>
      </c>
      <c r="Z30" s="359" t="s">
        <v>537</v>
      </c>
      <c r="AA30" s="360">
        <v>7000000</v>
      </c>
      <c r="AB30" s="358"/>
      <c r="AC30" s="361"/>
    </row>
    <row r="31" spans="1:29">
      <c r="A31" s="445" t="s">
        <v>534</v>
      </c>
      <c r="B31" s="332">
        <f t="shared" ref="B31:O31" si="9">IF(OR(B18="A",B18="B"),ROUND(2369796/365*B16,0),ROUND(ROUND(2466.55*$B$4,0)/365*B16,0))*B19*IF(B17&lt;3,0,IF(B17&lt;6,50%,100%))</f>
        <v>201270</v>
      </c>
      <c r="C31" s="332">
        <f t="shared" si="9"/>
        <v>402540</v>
      </c>
      <c r="D31" s="332">
        <f t="shared" si="9"/>
        <v>0</v>
      </c>
      <c r="E31" s="332">
        <f t="shared" si="9"/>
        <v>301905</v>
      </c>
      <c r="F31" s="332">
        <f t="shared" si="9"/>
        <v>0</v>
      </c>
      <c r="G31" s="332">
        <f t="shared" si="9"/>
        <v>0</v>
      </c>
      <c r="H31" s="360">
        <f t="shared" si="9"/>
        <v>9722330</v>
      </c>
      <c r="I31" s="332">
        <f t="shared" si="9"/>
        <v>0</v>
      </c>
      <c r="J31" s="332">
        <f t="shared" si="9"/>
        <v>0</v>
      </c>
      <c r="K31" s="332">
        <f t="shared" si="9"/>
        <v>0</v>
      </c>
      <c r="L31" s="332">
        <f t="shared" si="9"/>
        <v>0</v>
      </c>
      <c r="M31" s="332">
        <f t="shared" si="9"/>
        <v>0</v>
      </c>
      <c r="N31" s="332">
        <f t="shared" si="9"/>
        <v>0</v>
      </c>
      <c r="O31" s="332">
        <f t="shared" si="9"/>
        <v>0</v>
      </c>
      <c r="P31" s="346">
        <f>SUM(B31:O31)</f>
        <v>10628045</v>
      </c>
      <c r="Q31" s="379"/>
      <c r="R31" s="379" t="s">
        <v>597</v>
      </c>
      <c r="S31" s="379"/>
      <c r="T31" s="379"/>
      <c r="U31" s="379"/>
      <c r="V31" s="356" t="s">
        <v>2</v>
      </c>
      <c r="W31" s="357">
        <v>91999905</v>
      </c>
      <c r="X31" s="358" t="s">
        <v>507</v>
      </c>
      <c r="Y31" s="358" t="s">
        <v>508</v>
      </c>
      <c r="Z31" s="359" t="s">
        <v>537</v>
      </c>
      <c r="AA31" s="360">
        <v>7000000</v>
      </c>
      <c r="AB31" s="358"/>
      <c r="AC31" s="361"/>
    </row>
    <row r="32" spans="1:29">
      <c r="A32" s="412"/>
      <c r="B32" s="331"/>
      <c r="C32" s="332"/>
      <c r="D32" s="332"/>
      <c r="E32" s="340"/>
      <c r="F32" s="368"/>
      <c r="G32" s="368"/>
      <c r="H32" s="368"/>
      <c r="I32" s="368"/>
      <c r="J32" s="368"/>
      <c r="K32" s="340"/>
      <c r="L32" s="340"/>
      <c r="M32" s="340"/>
      <c r="N32" s="340"/>
      <c r="O32" s="401"/>
      <c r="P32" s="355"/>
      <c r="Q32" s="379"/>
      <c r="R32" s="379"/>
      <c r="S32" s="379"/>
      <c r="T32" s="379"/>
      <c r="U32" s="379"/>
      <c r="V32" s="356" t="s">
        <v>2</v>
      </c>
      <c r="W32" s="357">
        <v>91999906</v>
      </c>
      <c r="X32" s="358" t="s">
        <v>507</v>
      </c>
      <c r="Y32" s="358" t="s">
        <v>508</v>
      </c>
      <c r="Z32" s="359" t="s">
        <v>537</v>
      </c>
      <c r="AA32" s="360">
        <v>7000000</v>
      </c>
      <c r="AB32" s="358"/>
      <c r="AC32" s="361"/>
    </row>
    <row r="33" spans="1:29">
      <c r="A33" s="450" t="s">
        <v>61</v>
      </c>
      <c r="B33" s="365">
        <f t="shared" ref="B33:O33" si="10">SUM(B24:B28)</f>
        <v>6500000</v>
      </c>
      <c r="C33" s="366">
        <f t="shared" si="10"/>
        <v>5850000</v>
      </c>
      <c r="D33" s="366">
        <f t="shared" si="10"/>
        <v>9100000</v>
      </c>
      <c r="E33" s="366">
        <f t="shared" si="10"/>
        <v>9000000</v>
      </c>
      <c r="F33" s="366">
        <f t="shared" si="10"/>
        <v>14000000</v>
      </c>
      <c r="G33" s="366">
        <f t="shared" si="10"/>
        <v>46410000</v>
      </c>
      <c r="H33" s="366">
        <f t="shared" si="10"/>
        <v>143871000</v>
      </c>
      <c r="I33" s="366">
        <f t="shared" si="10"/>
        <v>85858500</v>
      </c>
      <c r="J33" s="366">
        <f t="shared" si="10"/>
        <v>65000000</v>
      </c>
      <c r="K33" s="366">
        <f t="shared" si="10"/>
        <v>10400000</v>
      </c>
      <c r="L33" s="366">
        <f t="shared" si="10"/>
        <v>90000000</v>
      </c>
      <c r="M33" s="366">
        <f t="shared" si="10"/>
        <v>7500000</v>
      </c>
      <c r="N33" s="366">
        <f t="shared" si="10"/>
        <v>9000000</v>
      </c>
      <c r="O33" s="496">
        <f t="shared" si="10"/>
        <v>6000000</v>
      </c>
      <c r="P33" s="355">
        <f>SUM(B33:O33)</f>
        <v>508489500</v>
      </c>
      <c r="Q33" s="379"/>
      <c r="R33" s="379"/>
      <c r="S33" s="379"/>
      <c r="T33" s="379"/>
      <c r="U33" s="379"/>
      <c r="V33" s="356" t="s">
        <v>2</v>
      </c>
      <c r="W33" s="357">
        <v>91999907</v>
      </c>
      <c r="X33" s="358" t="s">
        <v>603</v>
      </c>
      <c r="Y33" s="358" t="s">
        <v>508</v>
      </c>
      <c r="Z33" s="359">
        <v>7065</v>
      </c>
      <c r="AA33" s="360">
        <v>100</v>
      </c>
      <c r="AB33" s="447" t="s">
        <v>542</v>
      </c>
      <c r="AC33" s="448"/>
    </row>
    <row r="34" spans="1:29">
      <c r="A34" s="418"/>
      <c r="B34" s="331"/>
      <c r="C34" s="332"/>
      <c r="D34" s="332"/>
      <c r="E34" s="340"/>
      <c r="F34" s="332"/>
      <c r="G34" s="332"/>
      <c r="H34" s="332"/>
      <c r="I34" s="332"/>
      <c r="J34" s="332"/>
      <c r="K34" s="340"/>
      <c r="L34" s="340"/>
      <c r="M34" s="340"/>
      <c r="N34" s="340"/>
      <c r="O34" s="401"/>
      <c r="P34" s="355"/>
      <c r="Q34" s="379"/>
      <c r="R34" s="379"/>
      <c r="S34" s="379"/>
      <c r="T34" s="379"/>
      <c r="U34" s="379"/>
      <c r="V34" s="356" t="s">
        <v>2</v>
      </c>
      <c r="W34" s="357">
        <v>91999908</v>
      </c>
      <c r="X34" s="358" t="s">
        <v>507</v>
      </c>
      <c r="Y34" s="358" t="s">
        <v>508</v>
      </c>
      <c r="Z34" s="359">
        <v>7065</v>
      </c>
      <c r="AA34" s="360">
        <v>100</v>
      </c>
      <c r="AB34" s="447" t="s">
        <v>542</v>
      </c>
      <c r="AC34" s="448"/>
    </row>
    <row r="35" spans="1:29" ht="15.6">
      <c r="A35" s="419" t="s">
        <v>60</v>
      </c>
      <c r="B35" s="369"/>
      <c r="C35" s="362"/>
      <c r="D35" s="362"/>
      <c r="E35" s="370"/>
      <c r="F35" s="362"/>
      <c r="G35" s="362"/>
      <c r="H35" s="362"/>
      <c r="I35" s="362"/>
      <c r="J35" s="362"/>
      <c r="K35" s="370"/>
      <c r="L35" s="370"/>
      <c r="M35" s="370"/>
      <c r="N35" s="370"/>
      <c r="O35" s="383"/>
      <c r="P35" s="355"/>
      <c r="Q35" s="379"/>
      <c r="R35" s="379"/>
      <c r="S35" s="379"/>
      <c r="T35" s="379"/>
      <c r="U35" s="379"/>
      <c r="V35" s="356" t="s">
        <v>2</v>
      </c>
      <c r="W35" s="357">
        <v>91999907</v>
      </c>
      <c r="X35" s="358" t="s">
        <v>603</v>
      </c>
      <c r="Y35" s="358" t="s">
        <v>508</v>
      </c>
      <c r="Z35" s="359">
        <v>7070</v>
      </c>
      <c r="AA35" s="360">
        <v>200</v>
      </c>
      <c r="AB35" s="447" t="s">
        <v>542</v>
      </c>
      <c r="AC35" s="448"/>
    </row>
    <row r="36" spans="1:29">
      <c r="A36" s="414" t="s">
        <v>55</v>
      </c>
      <c r="B36" s="369"/>
      <c r="C36" s="362"/>
      <c r="D36" s="362"/>
      <c r="E36" s="370"/>
      <c r="F36" s="362"/>
      <c r="G36" s="362"/>
      <c r="H36" s="362"/>
      <c r="I36" s="362"/>
      <c r="J36" s="362"/>
      <c r="K36" s="370"/>
      <c r="L36" s="370"/>
      <c r="M36" s="370"/>
      <c r="N36" s="370"/>
      <c r="O36" s="383"/>
      <c r="P36" s="355"/>
      <c r="Q36" s="379"/>
      <c r="R36" s="379"/>
      <c r="S36" s="379"/>
      <c r="T36" s="379"/>
      <c r="U36" s="379"/>
      <c r="V36" s="356" t="s">
        <v>2</v>
      </c>
      <c r="W36" s="357">
        <v>91999908</v>
      </c>
      <c r="X36" s="358" t="s">
        <v>507</v>
      </c>
      <c r="Y36" s="358" t="s">
        <v>508</v>
      </c>
      <c r="Z36" s="359">
        <v>7070</v>
      </c>
      <c r="AA36" s="360">
        <v>200</v>
      </c>
      <c r="AB36" s="447" t="s">
        <v>542</v>
      </c>
      <c r="AC36" s="448"/>
    </row>
    <row r="37" spans="1:29">
      <c r="A37" s="424" t="s">
        <v>576</v>
      </c>
      <c r="B37" s="332">
        <f>ROUND(MIN(B83,83600000)*'New Hire'!C56,0)</f>
        <v>520000</v>
      </c>
      <c r="C37" s="332">
        <f>ROUND(MIN(C83,83600000)*'New Hire'!D56,0)</f>
        <v>468000</v>
      </c>
      <c r="D37" s="332">
        <f>ROUND(MIN(D83,83600000)*'New Hire'!E56,0)</f>
        <v>0</v>
      </c>
      <c r="E37" s="332">
        <f>ROUND(MIN(E83,83600000)*'New Hire'!F56,0)</f>
        <v>720000</v>
      </c>
      <c r="F37" s="332">
        <f>ROUND(MIN(F83,83600000)*'New Hire'!G56,0)</f>
        <v>0</v>
      </c>
      <c r="G37" s="332">
        <f>ROUND(MIN(G83,83600000)*'New Hire'!H56,0)</f>
        <v>0</v>
      </c>
      <c r="H37" s="332">
        <f>ROUND(MIN(H83,83600000)*'New Hire'!I56,0)</f>
        <v>0</v>
      </c>
      <c r="I37" s="332">
        <f>ROUND(MIN(I83,83600000)*'New Hire'!J56,0)</f>
        <v>0</v>
      </c>
      <c r="J37" s="332">
        <f>ROUND(MIN(J83,83600000)*'New Hire'!K56,0)</f>
        <v>5200000</v>
      </c>
      <c r="K37" s="332">
        <f>ROUND(MIN(K83,83600000)*'New Hire'!L56,0)</f>
        <v>0</v>
      </c>
      <c r="L37" s="332">
        <f>ROUND(MIN(L83,83600000)*'New Hire'!M56,0)</f>
        <v>6688000</v>
      </c>
      <c r="M37" s="332">
        <f>ROUND(MIN(M83,83600000)*'New Hire'!N56,0)</f>
        <v>0</v>
      </c>
      <c r="N37" s="332">
        <f>ROUND(MIN(N83,83600000)*'New Hire'!O56,0)</f>
        <v>0</v>
      </c>
      <c r="O37" s="400">
        <f>ROUND(MIN(O83,83600000)*'New Hire'!P56,0)</f>
        <v>0</v>
      </c>
      <c r="P37" s="355">
        <f t="shared" ref="P37:P44" si="11">SUM(B37:O37)</f>
        <v>13596000</v>
      </c>
      <c r="Q37" s="379"/>
      <c r="R37" s="379"/>
      <c r="S37" s="379"/>
      <c r="T37" s="379"/>
      <c r="U37" s="379"/>
      <c r="V37" s="356" t="s">
        <v>2</v>
      </c>
      <c r="W37" s="357">
        <v>91999901</v>
      </c>
      <c r="X37" s="358" t="s">
        <v>507</v>
      </c>
      <c r="Y37" s="358" t="s">
        <v>508</v>
      </c>
      <c r="Z37" s="359">
        <v>9140</v>
      </c>
      <c r="AA37" s="360"/>
      <c r="AB37" s="750">
        <v>7.5999999999999998E-2</v>
      </c>
      <c r="AC37" s="448"/>
    </row>
    <row r="38" spans="1:29">
      <c r="A38" s="445" t="s">
        <v>577</v>
      </c>
      <c r="B38" s="332">
        <f>ROUND(MIN(B83,83600000)*'New Hire'!C59,0)</f>
        <v>65000</v>
      </c>
      <c r="C38" s="332">
        <f>ROUND(MIN(C83,83600000)*'New Hire'!D59,0)</f>
        <v>58500</v>
      </c>
      <c r="D38" s="332">
        <f>ROUND(MIN(D83,83600000)*'New Hire'!E59,0)</f>
        <v>91000</v>
      </c>
      <c r="E38" s="332">
        <f>ROUND(MIN(E83,83600000)*'New Hire'!F59,0)</f>
        <v>90000</v>
      </c>
      <c r="F38" s="332">
        <f>ROUND(MIN(F83,83600000)*'New Hire'!G59,0)</f>
        <v>0</v>
      </c>
      <c r="G38" s="332">
        <f>ROUND(MIN(G83,83600000)*'New Hire'!H59,0)</f>
        <v>0</v>
      </c>
      <c r="H38" s="332">
        <f>ROUND(MIN(H83,83600000)*'New Hire'!I59,0)</f>
        <v>0</v>
      </c>
      <c r="I38" s="332">
        <f>ROUND(MIN(I83,83600000)*'New Hire'!J59,0)</f>
        <v>0</v>
      </c>
      <c r="J38" s="332">
        <f>ROUND(MIN(J83,83600000)*'New Hire'!K59,0)</f>
        <v>650000</v>
      </c>
      <c r="K38" s="332">
        <f>ROUND(MIN(K83,83600000)*'New Hire'!L59,0)</f>
        <v>0</v>
      </c>
      <c r="L38" s="332">
        <f>ROUND(MIN(L83,83600000)*'New Hire'!M59,0)</f>
        <v>836000</v>
      </c>
      <c r="M38" s="332">
        <f>ROUND(MIN(M83,83600000)*'New Hire'!N59,0)</f>
        <v>0</v>
      </c>
      <c r="N38" s="332">
        <f>ROUND(MIN(N83,83600000)*'New Hire'!O59,0)</f>
        <v>0</v>
      </c>
      <c r="O38" s="400">
        <f>ROUND(MIN(O83,83600000)*'New Hire'!P59,0)</f>
        <v>0</v>
      </c>
      <c r="P38" s="355">
        <f t="shared" si="11"/>
        <v>1790500</v>
      </c>
      <c r="Q38" s="379"/>
      <c r="R38" s="379"/>
      <c r="S38" s="379"/>
      <c r="T38" s="379"/>
      <c r="U38" s="379"/>
      <c r="V38" s="356" t="s">
        <v>2</v>
      </c>
      <c r="W38" s="357">
        <v>91999907</v>
      </c>
      <c r="X38" s="358" t="s">
        <v>507</v>
      </c>
      <c r="Y38" s="358" t="s">
        <v>508</v>
      </c>
      <c r="Z38" s="359">
        <v>9140</v>
      </c>
      <c r="AA38" s="360"/>
      <c r="AB38" s="750">
        <v>0.56000000000000005</v>
      </c>
      <c r="AC38" s="448"/>
    </row>
    <row r="39" spans="1:29">
      <c r="A39" s="445" t="s">
        <v>578</v>
      </c>
      <c r="B39" s="332">
        <f>ROUND(MIN(B83,83600000)*'New Hire'!C62,0)</f>
        <v>97500</v>
      </c>
      <c r="C39" s="332">
        <f>ROUND(MIN(C83,83600000)*'New Hire'!D62,0)</f>
        <v>87750</v>
      </c>
      <c r="D39" s="332">
        <f>ROUND(MIN(D83,83600000)*'New Hire'!E62,0)</f>
        <v>136500</v>
      </c>
      <c r="E39" s="332">
        <f>ROUND(MIN(E83,83600000)*'New Hire'!F62,0)</f>
        <v>135000</v>
      </c>
      <c r="F39" s="332">
        <f>ROUND(MIN(F83,83600000)*'New Hire'!G62,0)</f>
        <v>0</v>
      </c>
      <c r="G39" s="332">
        <f>ROUND(MIN(G83,83600000)*'New Hire'!H62,0)</f>
        <v>0</v>
      </c>
      <c r="H39" s="332">
        <f>ROUND(MIN(H83,83600000)*'New Hire'!I62,0)</f>
        <v>1254000</v>
      </c>
      <c r="I39" s="332">
        <f>ROUND(MIN(I83,83600000)*'New Hire'!J62,0)</f>
        <v>1254000</v>
      </c>
      <c r="J39" s="332">
        <f>ROUND(MIN(J83,83600000)*'New Hire'!K62,0)</f>
        <v>975000</v>
      </c>
      <c r="K39" s="332">
        <f>ROUND(MIN(K83,83600000)*'New Hire'!L62,0)</f>
        <v>0</v>
      </c>
      <c r="L39" s="332">
        <f>ROUND(MIN(L83,83600000)*'New Hire'!M62,0)</f>
        <v>1254000</v>
      </c>
      <c r="M39" s="332">
        <f>ROUND(MIN(M83,83600000)*'New Hire'!N62,0)</f>
        <v>0</v>
      </c>
      <c r="N39" s="332">
        <f>ROUND(MIN(N83,83600000)*'New Hire'!O62,0)</f>
        <v>0</v>
      </c>
      <c r="O39" s="400">
        <f>ROUND(MIN(O83,83600000)*'New Hire'!P62,0)</f>
        <v>0</v>
      </c>
      <c r="P39" s="355">
        <f t="shared" si="11"/>
        <v>5193750</v>
      </c>
      <c r="Q39" s="379"/>
      <c r="R39" s="379"/>
      <c r="S39" s="379"/>
      <c r="T39" s="379"/>
      <c r="U39" s="379"/>
      <c r="V39" s="356" t="s">
        <v>773</v>
      </c>
      <c r="W39" s="357">
        <v>91999905</v>
      </c>
      <c r="X39" s="358" t="s">
        <v>507</v>
      </c>
      <c r="Y39" s="358" t="s">
        <v>508</v>
      </c>
      <c r="Z39" s="359" t="s">
        <v>649</v>
      </c>
      <c r="AA39" s="360"/>
      <c r="AB39" s="447">
        <v>1</v>
      </c>
      <c r="AC39" s="448"/>
    </row>
    <row r="40" spans="1:29">
      <c r="A40" s="412" t="s">
        <v>111</v>
      </c>
      <c r="B40" s="331">
        <f>B90</f>
        <v>0</v>
      </c>
      <c r="C40" s="332">
        <f>C90</f>
        <v>0</v>
      </c>
      <c r="D40" s="332">
        <f t="shared" ref="D40:O40" si="12">D90</f>
        <v>0</v>
      </c>
      <c r="E40" s="332">
        <f t="shared" si="12"/>
        <v>998136</v>
      </c>
      <c r="F40" s="332">
        <f t="shared" si="12"/>
        <v>1467945</v>
      </c>
      <c r="G40" s="332">
        <f t="shared" si="12"/>
        <v>6102500</v>
      </c>
      <c r="H40" s="332">
        <f t="shared" si="12"/>
        <v>30786611</v>
      </c>
      <c r="I40" s="332">
        <f t="shared" si="12"/>
        <v>17171700</v>
      </c>
      <c r="J40" s="332">
        <f t="shared" si="12"/>
        <v>9043750</v>
      </c>
      <c r="K40" s="332">
        <f t="shared" si="12"/>
        <v>70000</v>
      </c>
      <c r="L40" s="332">
        <f t="shared" si="12"/>
        <v>15816600</v>
      </c>
      <c r="M40" s="332">
        <f t="shared" si="12"/>
        <v>0</v>
      </c>
      <c r="N40" s="332">
        <f t="shared" si="12"/>
        <v>0</v>
      </c>
      <c r="O40" s="400">
        <f t="shared" si="12"/>
        <v>600000</v>
      </c>
      <c r="P40" s="355">
        <f t="shared" si="11"/>
        <v>82057242</v>
      </c>
      <c r="Q40" s="379"/>
      <c r="R40" s="379"/>
      <c r="S40" s="379"/>
      <c r="T40" s="379"/>
      <c r="U40" s="379"/>
      <c r="V40" s="32"/>
      <c r="W40" s="44"/>
      <c r="X40" s="13"/>
      <c r="Y40" s="13"/>
      <c r="Z40" s="13"/>
      <c r="AA40" s="13"/>
      <c r="AB40" s="13"/>
      <c r="AC40" s="18"/>
    </row>
    <row r="41" spans="1:29">
      <c r="A41" s="445" t="s">
        <v>514</v>
      </c>
      <c r="B41" s="332">
        <f t="shared" ref="B41:O41" si="13">B76-B30</f>
        <v>0</v>
      </c>
      <c r="C41" s="332">
        <f t="shared" si="13"/>
        <v>0</v>
      </c>
      <c r="D41" s="332">
        <f t="shared" si="13"/>
        <v>0</v>
      </c>
      <c r="E41" s="332">
        <f t="shared" si="13"/>
        <v>0</v>
      </c>
      <c r="F41" s="332">
        <f t="shared" si="13"/>
        <v>0</v>
      </c>
      <c r="G41" s="332">
        <f t="shared" si="13"/>
        <v>0</v>
      </c>
      <c r="H41" s="332">
        <f t="shared" si="13"/>
        <v>339726</v>
      </c>
      <c r="I41" s="332">
        <f t="shared" si="13"/>
        <v>0</v>
      </c>
      <c r="J41" s="332">
        <f t="shared" si="13"/>
        <v>0</v>
      </c>
      <c r="K41" s="332">
        <f t="shared" si="13"/>
        <v>0</v>
      </c>
      <c r="L41" s="332">
        <f t="shared" si="13"/>
        <v>0</v>
      </c>
      <c r="M41" s="332">
        <f t="shared" si="13"/>
        <v>0</v>
      </c>
      <c r="N41" s="332">
        <f t="shared" si="13"/>
        <v>0</v>
      </c>
      <c r="O41" s="332">
        <f t="shared" si="13"/>
        <v>0</v>
      </c>
      <c r="P41" s="355">
        <f t="shared" si="11"/>
        <v>339726</v>
      </c>
      <c r="Q41" s="379"/>
      <c r="R41" s="379"/>
      <c r="S41" s="379"/>
      <c r="T41" s="379"/>
      <c r="U41" s="379"/>
      <c r="V41" s="32"/>
      <c r="W41" s="44"/>
      <c r="X41" s="13"/>
      <c r="Y41" s="13"/>
      <c r="Z41" s="13"/>
      <c r="AA41" s="13"/>
      <c r="AB41" s="13"/>
      <c r="AC41" s="18"/>
    </row>
    <row r="42" spans="1:29">
      <c r="A42" s="445" t="s">
        <v>535</v>
      </c>
      <c r="B42" s="332">
        <f>B31</f>
        <v>201270</v>
      </c>
      <c r="C42" s="332">
        <f t="shared" ref="C42:O42" si="14">C31</f>
        <v>402540</v>
      </c>
      <c r="D42" s="332">
        <f t="shared" si="14"/>
        <v>0</v>
      </c>
      <c r="E42" s="332">
        <f t="shared" si="14"/>
        <v>301905</v>
      </c>
      <c r="F42" s="332">
        <f t="shared" si="14"/>
        <v>0</v>
      </c>
      <c r="G42" s="332">
        <f t="shared" si="14"/>
        <v>0</v>
      </c>
      <c r="H42" s="332">
        <f t="shared" si="14"/>
        <v>9722330</v>
      </c>
      <c r="I42" s="332">
        <f t="shared" si="14"/>
        <v>0</v>
      </c>
      <c r="J42" s="332">
        <f t="shared" si="14"/>
        <v>0</v>
      </c>
      <c r="K42" s="332">
        <f t="shared" si="14"/>
        <v>0</v>
      </c>
      <c r="L42" s="332">
        <f t="shared" si="14"/>
        <v>0</v>
      </c>
      <c r="M42" s="332">
        <f t="shared" si="14"/>
        <v>0</v>
      </c>
      <c r="N42" s="332">
        <f t="shared" si="14"/>
        <v>0</v>
      </c>
      <c r="O42" s="332">
        <f t="shared" si="14"/>
        <v>0</v>
      </c>
      <c r="P42" s="346">
        <f t="shared" si="11"/>
        <v>10628045</v>
      </c>
      <c r="Q42" s="379"/>
      <c r="R42" s="379"/>
      <c r="S42" s="379"/>
      <c r="T42" s="379"/>
      <c r="U42" s="379"/>
      <c r="V42" s="32"/>
      <c r="W42" s="44"/>
      <c r="X42" s="13"/>
      <c r="Y42" s="13"/>
      <c r="Z42" s="13"/>
      <c r="AA42" s="13"/>
      <c r="AB42" s="13"/>
      <c r="AC42" s="18"/>
    </row>
    <row r="43" spans="1:29">
      <c r="A43" s="445" t="s">
        <v>538</v>
      </c>
      <c r="B43" s="332">
        <f>B77</f>
        <v>0</v>
      </c>
      <c r="C43" s="332">
        <f t="shared" ref="C43:O43" si="15">C77</f>
        <v>0</v>
      </c>
      <c r="D43" s="332">
        <f t="shared" si="15"/>
        <v>0</v>
      </c>
      <c r="E43" s="332">
        <f t="shared" si="15"/>
        <v>0</v>
      </c>
      <c r="F43" s="332">
        <f t="shared" si="15"/>
        <v>0</v>
      </c>
      <c r="G43" s="332">
        <f t="shared" si="15"/>
        <v>0</v>
      </c>
      <c r="H43" s="332">
        <f t="shared" si="15"/>
        <v>594521</v>
      </c>
      <c r="I43" s="332">
        <f t="shared" si="15"/>
        <v>0</v>
      </c>
      <c r="J43" s="332">
        <f t="shared" si="15"/>
        <v>0</v>
      </c>
      <c r="K43" s="332">
        <f t="shared" si="15"/>
        <v>0</v>
      </c>
      <c r="L43" s="332">
        <f t="shared" si="15"/>
        <v>0</v>
      </c>
      <c r="M43" s="332">
        <f t="shared" si="15"/>
        <v>0</v>
      </c>
      <c r="N43" s="332">
        <f t="shared" si="15"/>
        <v>0</v>
      </c>
      <c r="O43" s="332">
        <f t="shared" si="15"/>
        <v>0</v>
      </c>
      <c r="P43" s="355">
        <f t="shared" si="11"/>
        <v>594521</v>
      </c>
      <c r="Q43" s="379"/>
      <c r="R43" s="379"/>
      <c r="S43" s="347"/>
      <c r="T43" s="347"/>
      <c r="U43" s="347"/>
      <c r="V43" s="32"/>
      <c r="W43" s="44"/>
      <c r="X43" s="13"/>
      <c r="Y43" s="13"/>
      <c r="Z43" s="13"/>
      <c r="AA43" s="13"/>
      <c r="AB43" s="13"/>
      <c r="AC43" s="18"/>
    </row>
    <row r="44" spans="1:29">
      <c r="A44" s="445" t="s">
        <v>539</v>
      </c>
      <c r="B44" s="332">
        <f>IF(OR(B18="A",B18="B"),0,ROUND(ROUND(297.1*$B$4,0)/365*B16,0))*B19</f>
        <v>0</v>
      </c>
      <c r="C44" s="332">
        <f t="shared" ref="C44:O44" si="16">IF(OR(C18="A",C18="B"),0,ROUND(ROUND(297.1*$B$4,0)/365*C16,0))*C19</f>
        <v>0</v>
      </c>
      <c r="D44" s="332">
        <f t="shared" si="16"/>
        <v>0</v>
      </c>
      <c r="E44" s="332">
        <f t="shared" si="16"/>
        <v>0</v>
      </c>
      <c r="F44" s="332">
        <f t="shared" si="16"/>
        <v>0</v>
      </c>
      <c r="G44" s="332">
        <f t="shared" si="16"/>
        <v>0</v>
      </c>
      <c r="H44" s="360">
        <f t="shared" si="16"/>
        <v>1171070</v>
      </c>
      <c r="I44" s="332">
        <f t="shared" si="16"/>
        <v>0</v>
      </c>
      <c r="J44" s="332">
        <f t="shared" si="16"/>
        <v>0</v>
      </c>
      <c r="K44" s="332">
        <f t="shared" si="16"/>
        <v>0</v>
      </c>
      <c r="L44" s="332">
        <f t="shared" si="16"/>
        <v>0</v>
      </c>
      <c r="M44" s="332">
        <f t="shared" si="16"/>
        <v>0</v>
      </c>
      <c r="N44" s="332">
        <f t="shared" si="16"/>
        <v>0</v>
      </c>
      <c r="O44" s="332">
        <f t="shared" si="16"/>
        <v>0</v>
      </c>
      <c r="P44" s="346">
        <f t="shared" si="11"/>
        <v>1171070</v>
      </c>
      <c r="Q44" s="347"/>
      <c r="R44" s="347"/>
      <c r="S44" s="347"/>
      <c r="T44" s="347"/>
      <c r="U44" s="347"/>
      <c r="V44" s="42"/>
      <c r="W44" s="43"/>
      <c r="X44" s="733" t="s">
        <v>90</v>
      </c>
      <c r="Y44" s="733"/>
      <c r="Z44" s="733"/>
      <c r="AA44" s="733"/>
      <c r="AB44" s="13"/>
      <c r="AC44" s="18"/>
    </row>
    <row r="45" spans="1:29">
      <c r="A45" s="412"/>
      <c r="B45" s="371"/>
      <c r="C45" s="372"/>
      <c r="D45" s="372"/>
      <c r="E45" s="373"/>
      <c r="F45" s="372"/>
      <c r="G45" s="372"/>
      <c r="H45" s="372"/>
      <c r="I45" s="372"/>
      <c r="J45" s="372"/>
      <c r="K45" s="373"/>
      <c r="L45" s="373"/>
      <c r="M45" s="373"/>
      <c r="N45" s="373"/>
      <c r="O45" s="403"/>
      <c r="P45" s="355"/>
      <c r="Q45" s="379"/>
      <c r="R45" s="379"/>
      <c r="S45" s="379"/>
      <c r="T45" s="379"/>
      <c r="U45" s="379"/>
      <c r="V45" s="24" t="s">
        <v>57</v>
      </c>
      <c r="W45" s="37" t="s">
        <v>67</v>
      </c>
      <c r="X45" s="37" t="s">
        <v>69</v>
      </c>
      <c r="Y45" s="37" t="s">
        <v>70</v>
      </c>
      <c r="Z45" s="37" t="s">
        <v>56</v>
      </c>
      <c r="AA45" s="37" t="s">
        <v>71</v>
      </c>
      <c r="AB45" s="37" t="s">
        <v>58</v>
      </c>
      <c r="AC45" s="38" t="s">
        <v>59</v>
      </c>
    </row>
    <row r="46" spans="1:29">
      <c r="A46" s="420" t="s">
        <v>4</v>
      </c>
      <c r="B46" s="365">
        <f t="shared" ref="B46:O46" si="17">SUM(B37:B45)</f>
        <v>883770</v>
      </c>
      <c r="C46" s="366">
        <f t="shared" si="17"/>
        <v>1016790</v>
      </c>
      <c r="D46" s="366">
        <f t="shared" si="17"/>
        <v>227500</v>
      </c>
      <c r="E46" s="366">
        <f t="shared" si="17"/>
        <v>2245041</v>
      </c>
      <c r="F46" s="366">
        <f t="shared" si="17"/>
        <v>1467945</v>
      </c>
      <c r="G46" s="366">
        <f t="shared" si="17"/>
        <v>6102500</v>
      </c>
      <c r="H46" s="366">
        <f t="shared" si="17"/>
        <v>43868258</v>
      </c>
      <c r="I46" s="366">
        <f t="shared" si="17"/>
        <v>18425700</v>
      </c>
      <c r="J46" s="366">
        <f t="shared" si="17"/>
        <v>15868750</v>
      </c>
      <c r="K46" s="366">
        <f t="shared" si="17"/>
        <v>70000</v>
      </c>
      <c r="L46" s="366">
        <f t="shared" si="17"/>
        <v>24594600</v>
      </c>
      <c r="M46" s="366">
        <f t="shared" si="17"/>
        <v>0</v>
      </c>
      <c r="N46" s="366">
        <f t="shared" si="17"/>
        <v>0</v>
      </c>
      <c r="O46" s="496">
        <f t="shared" si="17"/>
        <v>600000</v>
      </c>
      <c r="P46" s="355">
        <f>SUM(B46:O46)</f>
        <v>115370854</v>
      </c>
      <c r="Q46" s="379"/>
      <c r="R46" s="379"/>
      <c r="S46" s="379"/>
      <c r="T46" s="379"/>
      <c r="U46" s="379"/>
      <c r="V46" s="49" t="s">
        <v>1235</v>
      </c>
      <c r="W46" s="39">
        <v>91999912</v>
      </c>
      <c r="X46" s="80" t="s">
        <v>1236</v>
      </c>
      <c r="Y46" s="80" t="s">
        <v>1237</v>
      </c>
      <c r="Z46" s="60">
        <v>1000</v>
      </c>
      <c r="AA46" s="332">
        <v>6000000</v>
      </c>
      <c r="AB46" s="80"/>
      <c r="AC46" s="11"/>
    </row>
    <row r="47" spans="1:29">
      <c r="A47" s="421"/>
      <c r="B47" s="331"/>
      <c r="C47" s="332"/>
      <c r="D47" s="332"/>
      <c r="E47" s="340"/>
      <c r="F47" s="332"/>
      <c r="G47" s="332"/>
      <c r="H47" s="332"/>
      <c r="I47" s="332"/>
      <c r="J47" s="332"/>
      <c r="K47" s="340"/>
      <c r="L47" s="340"/>
      <c r="M47" s="340"/>
      <c r="N47" s="340"/>
      <c r="O47" s="401"/>
      <c r="P47" s="355"/>
      <c r="Q47" s="379"/>
      <c r="R47" s="379"/>
      <c r="S47" s="379"/>
      <c r="T47" s="379"/>
      <c r="U47" s="379"/>
      <c r="V47" s="49" t="s">
        <v>0</v>
      </c>
      <c r="W47" s="39"/>
      <c r="X47" s="80"/>
      <c r="Y47" s="80"/>
      <c r="Z47" s="60"/>
      <c r="AA47" s="332"/>
      <c r="AB47" s="80"/>
      <c r="AC47" s="11"/>
    </row>
    <row r="48" spans="1:29" ht="14.4" thickBot="1">
      <c r="A48" s="417" t="s">
        <v>5</v>
      </c>
      <c r="B48" s="333">
        <f t="shared" ref="B48:O48" si="18">B33-B46</f>
        <v>5616230</v>
      </c>
      <c r="C48" s="334">
        <f t="shared" si="18"/>
        <v>4833210</v>
      </c>
      <c r="D48" s="334">
        <f t="shared" si="18"/>
        <v>8872500</v>
      </c>
      <c r="E48" s="334">
        <f t="shared" si="18"/>
        <v>6754959</v>
      </c>
      <c r="F48" s="334">
        <f t="shared" si="18"/>
        <v>12532055</v>
      </c>
      <c r="G48" s="334">
        <f t="shared" si="18"/>
        <v>40307500</v>
      </c>
      <c r="H48" s="334">
        <f t="shared" si="18"/>
        <v>100002742</v>
      </c>
      <c r="I48" s="334">
        <f t="shared" si="18"/>
        <v>67432800</v>
      </c>
      <c r="J48" s="334">
        <f t="shared" si="18"/>
        <v>49131250</v>
      </c>
      <c r="K48" s="334">
        <f t="shared" si="18"/>
        <v>10330000</v>
      </c>
      <c r="L48" s="334">
        <f t="shared" si="18"/>
        <v>65405400</v>
      </c>
      <c r="M48" s="334">
        <f t="shared" si="18"/>
        <v>7500000</v>
      </c>
      <c r="N48" s="334">
        <f t="shared" si="18"/>
        <v>9000000</v>
      </c>
      <c r="O48" s="404">
        <f t="shared" si="18"/>
        <v>5400000</v>
      </c>
      <c r="P48" s="355">
        <f>SUM(B48:O48)</f>
        <v>393118646</v>
      </c>
      <c r="Q48" s="379"/>
      <c r="R48" s="379"/>
      <c r="S48" s="379"/>
      <c r="T48" s="379"/>
      <c r="U48" s="379"/>
      <c r="V48" s="49" t="s">
        <v>0</v>
      </c>
      <c r="W48" s="39"/>
      <c r="X48" s="80"/>
      <c r="Y48" s="80"/>
      <c r="Z48" s="60"/>
      <c r="AA48" s="332"/>
      <c r="AB48" s="80"/>
      <c r="AC48" s="11"/>
    </row>
    <row r="49" spans="1:29" ht="14.4" thickTop="1">
      <c r="A49" s="422"/>
      <c r="B49" s="331"/>
      <c r="C49" s="332"/>
      <c r="D49" s="332"/>
      <c r="E49" s="340"/>
      <c r="F49" s="332"/>
      <c r="G49" s="332"/>
      <c r="H49" s="332"/>
      <c r="I49" s="332"/>
      <c r="J49" s="332"/>
      <c r="K49" s="340"/>
      <c r="L49" s="340"/>
      <c r="M49" s="340"/>
      <c r="N49" s="340"/>
      <c r="O49" s="401"/>
      <c r="P49" s="355"/>
      <c r="Q49" s="347"/>
      <c r="R49" s="347"/>
      <c r="S49" s="347"/>
      <c r="T49" s="347"/>
      <c r="U49" s="347"/>
      <c r="V49" s="49" t="s">
        <v>0</v>
      </c>
      <c r="W49" s="39"/>
      <c r="X49" s="80"/>
      <c r="Y49" s="80"/>
      <c r="Z49" s="60"/>
      <c r="AA49" s="332"/>
      <c r="AB49" s="80"/>
      <c r="AC49" s="11"/>
    </row>
    <row r="50" spans="1:29" ht="15.6">
      <c r="A50" s="411" t="s">
        <v>62</v>
      </c>
      <c r="B50" s="374"/>
      <c r="C50" s="405"/>
      <c r="D50" s="405"/>
      <c r="E50" s="370"/>
      <c r="F50" s="405"/>
      <c r="G50" s="405"/>
      <c r="H50" s="406"/>
      <c r="I50" s="405"/>
      <c r="J50" s="405"/>
      <c r="K50" s="370"/>
      <c r="L50" s="370"/>
      <c r="M50" s="370"/>
      <c r="N50" s="370"/>
      <c r="O50" s="383"/>
      <c r="P50" s="383"/>
      <c r="Q50" s="379"/>
      <c r="R50" s="379"/>
      <c r="S50" s="379"/>
      <c r="T50" s="379"/>
      <c r="U50" s="379"/>
      <c r="V50" s="49" t="s">
        <v>0</v>
      </c>
      <c r="W50" s="39"/>
      <c r="X50" s="80"/>
      <c r="Y50" s="80"/>
      <c r="Z50" s="60"/>
      <c r="AA50" s="332"/>
      <c r="AB50" s="80"/>
      <c r="AC50" s="11"/>
    </row>
    <row r="51" spans="1:29">
      <c r="A51" s="424" t="s">
        <v>573</v>
      </c>
      <c r="B51" s="332">
        <f>ROUND(MIN(B83,29800000)*'New Hire'!C57,0)</f>
        <v>1105000</v>
      </c>
      <c r="C51" s="332">
        <f>ROUND(MIN(C83,29800000)*'New Hire'!D57,0)</f>
        <v>1023750</v>
      </c>
      <c r="D51" s="332">
        <f>ROUND(MIN(D83,29800000)*'New Hire'!E57,0)</f>
        <v>45500</v>
      </c>
      <c r="E51" s="332">
        <f>ROUND(MIN(E83,29800000)*'New Hire'!F57,0)</f>
        <v>1530000</v>
      </c>
      <c r="F51" s="332">
        <f>ROUND(MIN(F83,29800000)*'New Hire'!G57,0)</f>
        <v>0</v>
      </c>
      <c r="G51" s="332">
        <f>ROUND(MIN(G83,29800000)*'New Hire'!H57,0)</f>
        <v>0</v>
      </c>
      <c r="H51" s="332">
        <f>ROUND(MIN(H83,29800000)*'New Hire'!I57,0)</f>
        <v>894000</v>
      </c>
      <c r="I51" s="332">
        <f>ROUND(MIN(I83,29800000)*'New Hire'!J57,0)</f>
        <v>149000</v>
      </c>
      <c r="J51" s="332">
        <f>ROUND(MIN(J83,29800000)*'New Hire'!K57,0)</f>
        <v>5066000</v>
      </c>
      <c r="K51" s="332">
        <f>ROUND(MIN(K83,29800000)*'New Hire'!L57,0)</f>
        <v>0</v>
      </c>
      <c r="L51" s="332">
        <f>ROUND(MIN(L83,29800000)*'New Hire'!M57,0)</f>
        <v>5066000</v>
      </c>
      <c r="M51" s="332">
        <f>ROUND(MIN(M83,29800000)*'New Hire'!N57,0)</f>
        <v>0</v>
      </c>
      <c r="N51" s="332">
        <f>ROUND(MIN(N83,29800000)*'New Hire'!O57,0)</f>
        <v>0</v>
      </c>
      <c r="O51" s="332">
        <f>ROUND(MIN(O83,29800000)*'New Hire'!P57,0)</f>
        <v>0</v>
      </c>
      <c r="P51" s="346">
        <f>SUM(B51:O51)</f>
        <v>14879250</v>
      </c>
      <c r="Q51" s="379"/>
      <c r="R51" s="379"/>
      <c r="S51" s="379"/>
      <c r="T51" s="379"/>
      <c r="U51" s="379"/>
      <c r="V51" s="32"/>
      <c r="W51" s="44"/>
      <c r="X51" s="13"/>
      <c r="Y51" s="13"/>
      <c r="Z51" s="13"/>
      <c r="AA51" s="362"/>
      <c r="AB51" s="13"/>
      <c r="AC51" s="18"/>
    </row>
    <row r="52" spans="1:29">
      <c r="A52" s="445" t="s">
        <v>574</v>
      </c>
      <c r="B52" s="332">
        <f>ROUND(MIN(B83,83600000)*'New Hire'!C60,0)</f>
        <v>65000</v>
      </c>
      <c r="C52" s="332">
        <f>ROUND(MIN(C83,83600000)*'New Hire'!D60,0)</f>
        <v>58500</v>
      </c>
      <c r="D52" s="332">
        <f>ROUND(MIN(D83,83600000)*'New Hire'!E60,0)</f>
        <v>91000</v>
      </c>
      <c r="E52" s="332">
        <f>ROUND(MIN(E83,83600000)*'New Hire'!F60,0)</f>
        <v>90000</v>
      </c>
      <c r="F52" s="332">
        <f>ROUND(MIN(F83,83600000)*'New Hire'!G60,0)</f>
        <v>0</v>
      </c>
      <c r="G52" s="332">
        <f>ROUND(MIN(G83,83600000)*'New Hire'!H60,0)</f>
        <v>0</v>
      </c>
      <c r="H52" s="332">
        <f>ROUND(MIN(H83,83600000)*'New Hire'!I60,0)</f>
        <v>0</v>
      </c>
      <c r="I52" s="332">
        <f>ROUND(MIN(I83,83600000)*'New Hire'!J60,0)</f>
        <v>0</v>
      </c>
      <c r="J52" s="332">
        <f>ROUND(MIN(J83,83600000)*'New Hire'!K60,0)</f>
        <v>650000</v>
      </c>
      <c r="K52" s="332">
        <f>ROUND(MIN(K83,83600000)*'New Hire'!L60,0)</f>
        <v>0</v>
      </c>
      <c r="L52" s="332">
        <f>ROUND(MIN(L83,83600000)*'New Hire'!M60,0)</f>
        <v>836000</v>
      </c>
      <c r="M52" s="332">
        <f>ROUND(MIN(M83,83600000)*'New Hire'!N60,0)</f>
        <v>0</v>
      </c>
      <c r="N52" s="332">
        <f>ROUND(MIN(N83,83600000)*'New Hire'!O60,0)</f>
        <v>0</v>
      </c>
      <c r="O52" s="332">
        <f>ROUND(MIN(O83,83600000)*'New Hire'!P60,0)</f>
        <v>0</v>
      </c>
      <c r="P52" s="346">
        <f>SUM(B52:O52)</f>
        <v>1790500</v>
      </c>
      <c r="Q52" s="379"/>
      <c r="R52" s="379"/>
      <c r="S52" s="379"/>
      <c r="T52" s="379"/>
      <c r="U52" s="379"/>
      <c r="V52" s="32"/>
      <c r="W52" s="44"/>
      <c r="X52" s="13"/>
      <c r="Y52" s="13"/>
      <c r="Z52" s="13"/>
      <c r="AA52" s="362"/>
      <c r="AB52" s="13"/>
      <c r="AC52" s="18"/>
    </row>
    <row r="53" spans="1:29">
      <c r="A53" s="445" t="s">
        <v>575</v>
      </c>
      <c r="B53" s="332">
        <f>ROUND(MIN(B83,29800000)*'New Hire'!C63,0)</f>
        <v>195000</v>
      </c>
      <c r="C53" s="332">
        <f>ROUND(MIN(C83,29800000)*'New Hire'!D63,0)</f>
        <v>175500</v>
      </c>
      <c r="D53" s="332">
        <f>ROUND(MIN(D83,29800000)*'New Hire'!E63,0)</f>
        <v>273000</v>
      </c>
      <c r="E53" s="332">
        <f>ROUND(MIN(E83,29800000)*'New Hire'!F63,0)</f>
        <v>270000</v>
      </c>
      <c r="F53" s="332">
        <f>ROUND(MIN(F83,29800000)*'New Hire'!G63,0)</f>
        <v>0</v>
      </c>
      <c r="G53" s="332">
        <f>ROUND(MIN(G83,29800000)*'New Hire'!H63,0)</f>
        <v>0</v>
      </c>
      <c r="H53" s="332">
        <f>ROUND(MIN(H83,29800000)*'New Hire'!I63,0)</f>
        <v>894000</v>
      </c>
      <c r="I53" s="332">
        <f>ROUND(MIN(I83,29800000)*'New Hire'!J63,0)</f>
        <v>894000</v>
      </c>
      <c r="J53" s="332">
        <f>ROUND(MIN(J83,29800000)*'New Hire'!K63,0)</f>
        <v>894000</v>
      </c>
      <c r="K53" s="332">
        <f>ROUND(MIN(K83,29800000)*'New Hire'!L63,0)</f>
        <v>0</v>
      </c>
      <c r="L53" s="332">
        <f>ROUND(MIN(L83,29800000)*'New Hire'!M63,0)</f>
        <v>894000</v>
      </c>
      <c r="M53" s="332">
        <f>ROUND(MIN(M83,29800000)*'New Hire'!N63,0)</f>
        <v>0</v>
      </c>
      <c r="N53" s="332">
        <f>ROUND(MIN(N83,29800000)*'New Hire'!O63,0)</f>
        <v>0</v>
      </c>
      <c r="O53" s="332">
        <f>ROUND(MIN(O83,29800000)*'New Hire'!P63,0)</f>
        <v>0</v>
      </c>
      <c r="P53" s="346">
        <f>SUM(B53:O53)</f>
        <v>4489500</v>
      </c>
      <c r="Q53" s="379"/>
      <c r="R53" s="379"/>
      <c r="S53" s="379"/>
      <c r="T53" s="379"/>
      <c r="U53" s="379"/>
      <c r="V53" s="42"/>
      <c r="W53" s="43"/>
      <c r="X53" s="13"/>
      <c r="Y53" s="13"/>
      <c r="Z53" s="61"/>
      <c r="AA53" s="362"/>
      <c r="AB53" s="13"/>
      <c r="AC53" s="18"/>
    </row>
    <row r="54" spans="1:29">
      <c r="A54" s="412" t="s">
        <v>1131</v>
      </c>
      <c r="B54" s="332">
        <f t="shared" ref="B54:O54" si="19">ROUND(MIN(B83,29800000)*2%,0)</f>
        <v>130000</v>
      </c>
      <c r="C54" s="332">
        <f t="shared" si="19"/>
        <v>117000</v>
      </c>
      <c r="D54" s="332">
        <f t="shared" si="19"/>
        <v>182000</v>
      </c>
      <c r="E54" s="332">
        <f t="shared" si="19"/>
        <v>180000</v>
      </c>
      <c r="F54" s="332">
        <f t="shared" si="19"/>
        <v>280000</v>
      </c>
      <c r="G54" s="332">
        <f t="shared" si="19"/>
        <v>0</v>
      </c>
      <c r="H54" s="332">
        <f t="shared" si="19"/>
        <v>596000</v>
      </c>
      <c r="I54" s="332">
        <f t="shared" si="19"/>
        <v>596000</v>
      </c>
      <c r="J54" s="332">
        <f t="shared" si="19"/>
        <v>596000</v>
      </c>
      <c r="K54" s="332">
        <f t="shared" si="19"/>
        <v>208000</v>
      </c>
      <c r="L54" s="332">
        <f t="shared" si="19"/>
        <v>596000</v>
      </c>
      <c r="M54" s="332">
        <f t="shared" si="19"/>
        <v>150000</v>
      </c>
      <c r="N54" s="332">
        <f t="shared" si="19"/>
        <v>180000</v>
      </c>
      <c r="O54" s="400">
        <f t="shared" si="19"/>
        <v>120000</v>
      </c>
      <c r="P54" s="355">
        <f t="shared" ref="P54" si="20">SUM(B54:O54)-J54</f>
        <v>3335000</v>
      </c>
      <c r="Q54" s="379"/>
      <c r="R54" s="379"/>
      <c r="S54" s="379"/>
      <c r="T54" s="379"/>
      <c r="U54" s="379"/>
      <c r="V54" s="24" t="s">
        <v>57</v>
      </c>
      <c r="W54" s="37" t="s">
        <v>67</v>
      </c>
      <c r="X54" s="37" t="s">
        <v>69</v>
      </c>
      <c r="Y54" s="37" t="s">
        <v>70</v>
      </c>
      <c r="Z54" s="62" t="s">
        <v>425</v>
      </c>
      <c r="AA54" s="363" t="s">
        <v>426</v>
      </c>
      <c r="AB54" s="37" t="s">
        <v>56</v>
      </c>
      <c r="AC54" s="38"/>
    </row>
    <row r="55" spans="1:29">
      <c r="A55" s="412"/>
      <c r="B55" s="331"/>
      <c r="C55" s="332"/>
      <c r="D55" s="332"/>
      <c r="E55" s="340"/>
      <c r="F55" s="332"/>
      <c r="G55" s="332"/>
      <c r="H55" s="332"/>
      <c r="I55" s="332"/>
      <c r="J55" s="332"/>
      <c r="K55" s="340"/>
      <c r="L55" s="340"/>
      <c r="M55" s="340"/>
      <c r="N55" s="340"/>
      <c r="O55" s="401"/>
      <c r="P55" s="346"/>
      <c r="Q55" s="379"/>
      <c r="R55" s="379"/>
      <c r="S55" s="379"/>
      <c r="T55" s="379"/>
      <c r="U55" s="379"/>
      <c r="V55" s="49" t="s">
        <v>424</v>
      </c>
      <c r="W55" s="353">
        <v>91999906</v>
      </c>
      <c r="X55" s="289" t="s">
        <v>697</v>
      </c>
      <c r="Y55" s="289" t="s">
        <v>697</v>
      </c>
      <c r="Z55" s="292">
        <v>0.375</v>
      </c>
      <c r="AA55" s="292">
        <v>0.47916666666666669</v>
      </c>
      <c r="AB55" s="290">
        <v>9180</v>
      </c>
      <c r="AC55" s="479">
        <v>2.5</v>
      </c>
    </row>
    <row r="56" spans="1:29" ht="15.6">
      <c r="A56" s="411" t="s">
        <v>475</v>
      </c>
      <c r="B56" s="331"/>
      <c r="C56" s="332"/>
      <c r="D56" s="332"/>
      <c r="E56" s="340"/>
      <c r="F56" s="332"/>
      <c r="G56" s="332"/>
      <c r="H56" s="332"/>
      <c r="I56" s="332"/>
      <c r="J56" s="332"/>
      <c r="K56" s="340"/>
      <c r="L56" s="340"/>
      <c r="M56" s="340"/>
      <c r="N56" s="340"/>
      <c r="O56" s="401"/>
      <c r="P56" s="346"/>
      <c r="Q56" s="379"/>
      <c r="R56" s="379"/>
      <c r="S56" s="379"/>
      <c r="T56" s="379"/>
      <c r="U56" s="379"/>
      <c r="V56" s="49" t="s">
        <v>424</v>
      </c>
      <c r="W56" s="353">
        <v>91999906</v>
      </c>
      <c r="X56" s="289" t="s">
        <v>1240</v>
      </c>
      <c r="Y56" s="289" t="s">
        <v>1240</v>
      </c>
      <c r="Z56" s="292">
        <v>0.375</v>
      </c>
      <c r="AA56" s="292">
        <v>0.47916666666666669</v>
      </c>
      <c r="AB56" s="290">
        <v>9180</v>
      </c>
      <c r="AC56" s="479">
        <v>2.5</v>
      </c>
    </row>
    <row r="57" spans="1:29">
      <c r="A57" s="445" t="s">
        <v>476</v>
      </c>
      <c r="B57" s="332">
        <f>IF(AND(OR(B11="1",B11="P"),'New Hire'!C28="Local"),ROUND(B109*B74,0),0)+'UAT4-Apr'!B68</f>
        <v>2079841</v>
      </c>
      <c r="C57" s="332">
        <f>IF(AND(OR(C11="1",C11="P"),'New Hire'!D28="Local"),ROUND(C109*C74,0),0)+'UAT4-Apr'!C68</f>
        <v>1504894</v>
      </c>
      <c r="D57" s="332">
        <f>IF(AND(OR(D11="1",D11="P"),'New Hire'!E28="Local"),ROUND(D109*D74,0),0)+'UAT4-Apr'!D68</f>
        <v>0</v>
      </c>
      <c r="E57" s="332">
        <f>IF(AND(OR(E11="1",E11="P"),'New Hire'!F28="Local"),ROUND(E109*E74,0),0)+'UAT4-Apr'!E68</f>
        <v>0</v>
      </c>
      <c r="F57" s="332">
        <f>IF(AND(OR(F11="1",F11="P"),'New Hire'!G28="Local"),ROUND(F109*F74,0),0)+'UAT4-Apr'!F68</f>
        <v>0</v>
      </c>
      <c r="G57" s="332">
        <f>IF(AND(OR(G11="1",G11="P"),'New Hire'!H28="Local"),ROUND(G109*G74,0),0)+'UAT4-Apr'!G68</f>
        <v>0</v>
      </c>
      <c r="H57" s="332">
        <f>IF(AND(OR(H11="1",H11="P"),'New Hire'!I28="Local"),ROUND(H109*H74,0),0)+'UAT4-Apr'!H68</f>
        <v>0</v>
      </c>
      <c r="I57" s="332">
        <f>IF(AND(OR(I11="1",I11="P"),'New Hire'!J28="Local"),ROUND(I109*I74,0),0)+'UAT4-Apr'!I68</f>
        <v>0</v>
      </c>
      <c r="J57" s="332">
        <f>IF(AND(OR(J11="1",J11="P"),'New Hire'!K28="Local"),ROUND(J109*J74,0),0)+'UAT4-Apr'!J68</f>
        <v>14841343</v>
      </c>
      <c r="K57" s="332">
        <f>IF(AND(OR(K11="1",K11="P"),'New Hire'!L28="Local"),ROUND(K109*K74,0),0)+'UAT4-Apr'!K68</f>
        <v>3327746</v>
      </c>
      <c r="L57" s="332">
        <f>IF(AND(OR(L11="1",L11="P"),'New Hire'!M28="Local"),ROUND(L109*L74,0),0)+'UAT4-Apr'!L68</f>
        <v>37437134</v>
      </c>
      <c r="M57" s="332">
        <f>IF(AND(OR(M11="1",M11="P"),'New Hire'!N28="Local"),ROUND(M109*M74,0),0)+'UAT4-Apr'!M68</f>
        <v>0</v>
      </c>
      <c r="N57" s="332">
        <f>IF(AND(OR(N11="1",N11="P"),'New Hire'!O28="Local"),ROUND(N109*N74,0),0)+'UAT4-Apr'!N68</f>
        <v>0</v>
      </c>
      <c r="O57" s="332">
        <f>IF(AND(OR(O11="1",O11="P"),'New Hire'!P28="Local"),ROUND(O109*O74,0),0)+'UAT4-Apr'!O68</f>
        <v>528736</v>
      </c>
      <c r="P57" s="346">
        <f>SUM(B57:O57)</f>
        <v>59719694</v>
      </c>
      <c r="Q57" s="379"/>
      <c r="R57" s="379"/>
      <c r="S57" s="379"/>
      <c r="T57" s="379"/>
      <c r="U57" s="379"/>
      <c r="V57" s="49" t="s">
        <v>423</v>
      </c>
      <c r="W57" s="353">
        <v>91999906</v>
      </c>
      <c r="X57" s="289" t="s">
        <v>698</v>
      </c>
      <c r="Y57" s="289" t="s">
        <v>698</v>
      </c>
      <c r="Z57" s="292">
        <v>0.375</v>
      </c>
      <c r="AA57" s="292">
        <v>0.47916666666666669</v>
      </c>
      <c r="AB57" s="290">
        <v>9180</v>
      </c>
      <c r="AC57" s="479">
        <v>2.5</v>
      </c>
    </row>
    <row r="58" spans="1:29">
      <c r="A58" s="445" t="s">
        <v>484</v>
      </c>
      <c r="B58" s="617">
        <f>'UAT4-Apr'!B69</f>
        <v>0</v>
      </c>
      <c r="C58" s="617">
        <f>'UAT4-Apr'!C69</f>
        <v>2.5</v>
      </c>
      <c r="D58" s="617">
        <f>'UAT4-Apr'!D69</f>
        <v>0</v>
      </c>
      <c r="E58" s="617">
        <f>'UAT4-Apr'!E69</f>
        <v>0</v>
      </c>
      <c r="F58" s="617">
        <f>'UAT4-Apr'!F69</f>
        <v>0</v>
      </c>
      <c r="G58" s="617">
        <f>'UAT4-Apr'!G69</f>
        <v>0</v>
      </c>
      <c r="H58" s="617">
        <f>'UAT4-Apr'!H69</f>
        <v>5</v>
      </c>
      <c r="I58" s="617">
        <f>'UAT4-Apr'!I69</f>
        <v>0.5</v>
      </c>
      <c r="J58" s="617">
        <f>'UAT4-Apr'!J69</f>
        <v>0</v>
      </c>
      <c r="K58" s="617">
        <f>'UAT4-Apr'!K69</f>
        <v>0</v>
      </c>
      <c r="L58" s="617">
        <f>'UAT4-Apr'!L69</f>
        <v>0</v>
      </c>
      <c r="M58" s="617">
        <f>'UAT4-Apr'!M69</f>
        <v>0</v>
      </c>
      <c r="N58" s="617">
        <f>'UAT4-Apr'!N69</f>
        <v>1.5</v>
      </c>
      <c r="O58" s="617">
        <f>'UAT4-Apr'!O69</f>
        <v>0</v>
      </c>
      <c r="P58" s="618">
        <f>SUM(B58:O58)</f>
        <v>9.5</v>
      </c>
      <c r="Q58" s="379"/>
      <c r="R58" s="379"/>
      <c r="S58" s="379"/>
      <c r="T58" s="379"/>
      <c r="U58" s="379"/>
      <c r="V58" s="49" t="s">
        <v>423</v>
      </c>
      <c r="W58" s="353">
        <v>91999906</v>
      </c>
      <c r="X58" s="289" t="s">
        <v>699</v>
      </c>
      <c r="Y58" s="289" t="s">
        <v>699</v>
      </c>
      <c r="Z58" s="292">
        <v>0.375</v>
      </c>
      <c r="AA58" s="292">
        <v>0.47916666666666669</v>
      </c>
      <c r="AB58" s="290">
        <v>9180</v>
      </c>
      <c r="AC58" s="479">
        <v>2.5</v>
      </c>
    </row>
    <row r="59" spans="1:29">
      <c r="A59" s="445" t="s">
        <v>587</v>
      </c>
      <c r="B59" s="332">
        <f>B84+'UAT4-Apr'!B70</f>
        <v>40100000</v>
      </c>
      <c r="C59" s="332">
        <f>C84+'UAT4-Apr'!C70</f>
        <v>38310000</v>
      </c>
      <c r="D59" s="332">
        <f>D84+'UAT4-Apr'!D70</f>
        <v>54560000</v>
      </c>
      <c r="E59" s="332">
        <f>E84+'UAT4-Apr'!E70</f>
        <v>48600000</v>
      </c>
      <c r="F59" s="332">
        <f>F84+'UAT4-Apr'!F70</f>
        <v>73600000</v>
      </c>
      <c r="G59" s="332">
        <f>G84+'UAT4-Apr'!G70</f>
        <v>0</v>
      </c>
      <c r="H59" s="332">
        <f>H84+'UAT4-Apr'!H70</f>
        <v>631176000</v>
      </c>
      <c r="I59" s="332">
        <f>I84+'UAT4-Apr'!I70</f>
        <v>444839850</v>
      </c>
      <c r="J59" s="332">
        <f>J84+'UAT4-Apr'!J70</f>
        <v>325000000</v>
      </c>
      <c r="K59" s="332">
        <f>K84+'UAT4-Apr'!K70</f>
        <v>53460000</v>
      </c>
      <c r="L59" s="332">
        <f>L84+'UAT4-Apr'!L70</f>
        <v>450000000</v>
      </c>
      <c r="M59" s="332">
        <f>M84+'UAT4-Apr'!M70</f>
        <v>37500000</v>
      </c>
      <c r="N59" s="332">
        <f>N84+'UAT4-Apr'!N70</f>
        <v>45000000</v>
      </c>
      <c r="O59" s="400">
        <f>O84+'UAT4-Apr'!O70</f>
        <v>6000000</v>
      </c>
      <c r="P59" s="346">
        <f>SUM(B59:O59)</f>
        <v>2248145850</v>
      </c>
      <c r="Q59" s="341"/>
      <c r="R59" s="341"/>
      <c r="S59" s="341"/>
      <c r="T59" s="341"/>
      <c r="U59" s="341"/>
      <c r="V59" s="49" t="s">
        <v>423</v>
      </c>
      <c r="W59" s="353"/>
      <c r="X59" s="289"/>
      <c r="Y59" s="289"/>
      <c r="Z59" s="292"/>
      <c r="AA59" s="292"/>
      <c r="AB59" s="290"/>
      <c r="AC59" s="479"/>
    </row>
    <row r="60" spans="1:29">
      <c r="A60" s="412"/>
      <c r="B60" s="331"/>
      <c r="C60" s="332"/>
      <c r="D60" s="332"/>
      <c r="E60" s="340"/>
      <c r="F60" s="332"/>
      <c r="G60" s="332"/>
      <c r="H60" s="332"/>
      <c r="I60" s="332"/>
      <c r="J60" s="332"/>
      <c r="K60" s="340"/>
      <c r="L60" s="340"/>
      <c r="M60" s="340"/>
      <c r="N60" s="340"/>
      <c r="O60" s="401"/>
      <c r="P60" s="346"/>
      <c r="Q60" s="341"/>
      <c r="R60" s="341"/>
      <c r="S60" s="341"/>
      <c r="T60" s="341"/>
      <c r="U60" s="341"/>
      <c r="V60" s="49" t="s">
        <v>423</v>
      </c>
      <c r="W60" s="353"/>
      <c r="X60" s="354"/>
      <c r="Y60" s="354"/>
      <c r="Z60" s="292"/>
      <c r="AA60" s="292"/>
      <c r="AB60" s="290"/>
      <c r="AC60" s="479"/>
    </row>
    <row r="61" spans="1:29" ht="15.6">
      <c r="A61" s="411" t="s">
        <v>889</v>
      </c>
      <c r="B61" s="480"/>
      <c r="C61" s="480"/>
      <c r="D61" s="480"/>
      <c r="E61" s="480"/>
      <c r="F61" s="480"/>
      <c r="G61" s="480"/>
      <c r="H61" s="480"/>
      <c r="I61" s="480"/>
      <c r="J61" s="590"/>
      <c r="K61" s="480"/>
      <c r="L61" s="480"/>
      <c r="M61" s="480"/>
      <c r="N61" s="480"/>
      <c r="O61" s="588"/>
      <c r="P61" s="346"/>
      <c r="Q61" s="341"/>
      <c r="R61" s="341"/>
      <c r="S61" s="341"/>
      <c r="T61" s="341"/>
      <c r="U61" s="341"/>
      <c r="V61" s="49" t="s">
        <v>423</v>
      </c>
      <c r="W61" s="39"/>
      <c r="X61" s="7"/>
      <c r="Y61" s="7"/>
      <c r="Z61" s="292"/>
      <c r="AA61" s="292"/>
      <c r="AB61" s="290"/>
      <c r="AC61" s="479"/>
    </row>
    <row r="62" spans="1:29">
      <c r="A62" s="474" t="s">
        <v>885</v>
      </c>
      <c r="B62" s="340">
        <f t="shared" ref="B62:O62" si="21">B69*B97</f>
        <v>2307680</v>
      </c>
      <c r="C62" s="340">
        <f t="shared" si="21"/>
        <v>1869264</v>
      </c>
      <c r="D62" s="340">
        <f t="shared" si="21"/>
        <v>1332705</v>
      </c>
      <c r="E62" s="340">
        <f t="shared" si="21"/>
        <v>4153840</v>
      </c>
      <c r="F62" s="340">
        <f t="shared" si="21"/>
        <v>5169216</v>
      </c>
      <c r="G62" s="340">
        <f t="shared" si="21"/>
        <v>0</v>
      </c>
      <c r="H62" s="340">
        <f t="shared" si="21"/>
        <v>50872500</v>
      </c>
      <c r="I62" s="340">
        <f t="shared" si="21"/>
        <v>0</v>
      </c>
      <c r="J62" s="340">
        <f t="shared" si="21"/>
        <v>12692328</v>
      </c>
      <c r="K62" s="340">
        <f t="shared" si="21"/>
        <v>3692320</v>
      </c>
      <c r="L62" s="340">
        <f t="shared" si="21"/>
        <v>41538480</v>
      </c>
      <c r="M62" s="340">
        <f t="shared" si="21"/>
        <v>2307680</v>
      </c>
      <c r="N62" s="340">
        <f t="shared" si="21"/>
        <v>3000000</v>
      </c>
      <c r="O62" s="401">
        <f t="shared" si="21"/>
        <v>1869210</v>
      </c>
      <c r="P62" s="346">
        <f t="shared" ref="P62:P66" si="22">SUM(B62:O62)-J62</f>
        <v>118112895</v>
      </c>
      <c r="Q62" s="347"/>
      <c r="R62" s="347"/>
      <c r="S62" s="347"/>
      <c r="T62" s="347"/>
      <c r="U62" s="347"/>
      <c r="V62" s="49" t="s">
        <v>423</v>
      </c>
      <c r="W62" s="39"/>
      <c r="X62" s="7"/>
      <c r="Y62" s="7"/>
      <c r="Z62" s="292"/>
      <c r="AA62" s="292"/>
      <c r="AB62" s="290"/>
      <c r="AC62" s="479"/>
    </row>
    <row r="63" spans="1:29">
      <c r="A63" s="474" t="s">
        <v>886</v>
      </c>
      <c r="B63" s="340">
        <f t="shared" ref="B63:O63" si="23">B96*B69</f>
        <v>4615360</v>
      </c>
      <c r="C63" s="340">
        <f t="shared" si="23"/>
        <v>3738528</v>
      </c>
      <c r="D63" s="340">
        <f t="shared" si="23"/>
        <v>2665410</v>
      </c>
      <c r="E63" s="340">
        <f t="shared" si="23"/>
        <v>8307680</v>
      </c>
      <c r="F63" s="340">
        <f t="shared" si="23"/>
        <v>10338432</v>
      </c>
      <c r="G63" s="340">
        <f t="shared" si="23"/>
        <v>0</v>
      </c>
      <c r="H63" s="340">
        <f t="shared" si="23"/>
        <v>102414375</v>
      </c>
      <c r="I63" s="340">
        <f t="shared" si="23"/>
        <v>0</v>
      </c>
      <c r="J63" s="340">
        <f t="shared" si="23"/>
        <v>25673118</v>
      </c>
      <c r="K63" s="340">
        <f t="shared" si="23"/>
        <v>7384640</v>
      </c>
      <c r="L63" s="340">
        <f t="shared" si="23"/>
        <v>83076960</v>
      </c>
      <c r="M63" s="340">
        <f t="shared" si="23"/>
        <v>4615360</v>
      </c>
      <c r="N63" s="340">
        <f t="shared" si="23"/>
        <v>6000000</v>
      </c>
      <c r="O63" s="401">
        <f t="shared" si="23"/>
        <v>3703805</v>
      </c>
      <c r="P63" s="346">
        <f t="shared" si="22"/>
        <v>236860550</v>
      </c>
      <c r="Q63" s="347"/>
      <c r="R63" s="347"/>
      <c r="S63" s="347"/>
      <c r="T63" s="347"/>
      <c r="U63" s="347"/>
      <c r="V63" s="49" t="s">
        <v>423</v>
      </c>
      <c r="W63" s="39"/>
      <c r="X63" s="7"/>
      <c r="Y63" s="7"/>
      <c r="Z63" s="292"/>
      <c r="AA63" s="292"/>
      <c r="AB63" s="290"/>
      <c r="AC63" s="479"/>
    </row>
    <row r="64" spans="1:29">
      <c r="A64" s="474" t="s">
        <v>928</v>
      </c>
      <c r="B64" s="340" t="e">
        <f>IF(OR(B18="A",B18="B"),ROUND(B123/12,0),ROUND(B123*$B$4/12,0))+'UAT4-Apr'!B75</f>
        <v>#REF!</v>
      </c>
      <c r="C64" s="340" t="e">
        <f>IF(OR(C18="A",C18="B"),ROUND(C123/12,0),ROUND(C123*$B$4/12,0))+'UAT4-Apr'!C75</f>
        <v>#REF!</v>
      </c>
      <c r="D64" s="340" t="e">
        <f>IF(OR(D18="A",D18="B"),ROUND(D123/12,0),ROUND(D123*$B$4/12,0))+'UAT4-Apr'!D75</f>
        <v>#REF!</v>
      </c>
      <c r="E64" s="340" t="e">
        <f>IF(OR(E18="A",E18="B"),ROUND(E123/12,0),ROUND(E123*$B$4/12,0))+'UAT4-Apr'!E75</f>
        <v>#REF!</v>
      </c>
      <c r="F64" s="340" t="e">
        <f>IF(OR(F18="A",F18="B"),ROUND(F123/12,0),ROUND(F123*$B$4/12,0))+'UAT4-Apr'!F75</f>
        <v>#REF!</v>
      </c>
      <c r="G64" s="340" t="e">
        <f>IF(OR(G18="A",G18="B"),ROUND(G123/12,0),ROUND(G123*$B$4/12,0))+'UAT4-Apr'!G75</f>
        <v>#REF!</v>
      </c>
      <c r="H64" s="340" t="e">
        <f>IF(OR(H18="A",H18="B"),ROUND(H123/12,0),ROUND(H123*$B$4/12,0))+'UAT4-Apr'!H75</f>
        <v>#REF!</v>
      </c>
      <c r="I64" s="340" t="e">
        <f>IF(OR(I18="A",I18="B"),ROUND(I123/12,0),ROUND(I123*$B$4/12,0))+'UAT4-Apr'!I75</f>
        <v>#REF!</v>
      </c>
      <c r="J64" s="340" t="e">
        <f>IF(OR(J18="A",J18="B"),ROUND(J123/12,0),ROUND(J123*$B$4/12,0))+'UAT4-Apr'!J75</f>
        <v>#REF!</v>
      </c>
      <c r="K64" s="340" t="e">
        <f>IF(OR(K18="A",K18="B"),ROUND(K123/12,0),ROUND(K123*$B$4/12,0))+'UAT4-Apr'!K75</f>
        <v>#REF!</v>
      </c>
      <c r="L64" s="340" t="e">
        <f>IF(OR(L18="A",L18="B"),ROUND(L123/12,0),ROUND(L123*$B$4/12,0))+'UAT4-Apr'!L75</f>
        <v>#REF!</v>
      </c>
      <c r="M64" s="340" t="e">
        <f>IF(OR(M18="A",M18="B"),ROUND(M123/12,0),ROUND(M123*$B$4/12,0))+'UAT4-Apr'!M75</f>
        <v>#REF!</v>
      </c>
      <c r="N64" s="340" t="e">
        <f>IF(OR(N18="A",N18="B"),ROUND(N123/12,0),ROUND(N123*$B$4/12,0))+'UAT4-Apr'!N75</f>
        <v>#REF!</v>
      </c>
      <c r="O64" s="401" t="e">
        <f>IF(OR(O18="A",O18="B"),ROUND(O123/12,0),ROUND(O123*$B$4/12,0))+'UAT4-Apr'!O75</f>
        <v>#REF!</v>
      </c>
      <c r="P64" s="346" t="e">
        <f t="shared" si="22"/>
        <v>#REF!</v>
      </c>
      <c r="Q64" s="347"/>
      <c r="R64" s="347"/>
      <c r="S64" s="347"/>
      <c r="T64" s="347"/>
      <c r="U64" s="347"/>
      <c r="V64" s="49" t="s">
        <v>423</v>
      </c>
      <c r="W64" s="39"/>
      <c r="X64" s="7"/>
      <c r="Y64" s="7"/>
      <c r="Z64" s="292"/>
      <c r="AA64" s="292"/>
      <c r="AB64" s="290"/>
      <c r="AC64" s="479"/>
    </row>
    <row r="65" spans="1:29">
      <c r="A65" s="474" t="s">
        <v>887</v>
      </c>
      <c r="B65" s="340"/>
      <c r="C65" s="340">
        <f>ROUND((C109+C115+C116)/12*AB37*C15/261,0)</f>
        <v>2511</v>
      </c>
      <c r="D65" s="340"/>
      <c r="E65" s="340"/>
      <c r="F65" s="340"/>
      <c r="G65" s="340"/>
      <c r="H65" s="340">
        <f>ROUND((H109*B4+H115+H116)/12*AB38*H15/261,0)</f>
        <v>477140</v>
      </c>
      <c r="I65" s="340"/>
      <c r="J65" s="453"/>
      <c r="K65" s="340"/>
      <c r="L65" s="340"/>
      <c r="M65" s="340"/>
      <c r="N65" s="340"/>
      <c r="O65" s="401"/>
      <c r="P65" s="346">
        <f t="shared" si="22"/>
        <v>479651</v>
      </c>
      <c r="Q65" s="347"/>
      <c r="R65" s="347"/>
      <c r="S65" s="347"/>
      <c r="T65" s="347"/>
      <c r="U65" s="347"/>
      <c r="V65" s="49" t="s">
        <v>423</v>
      </c>
      <c r="W65" s="39"/>
      <c r="X65" s="7"/>
      <c r="Y65" s="7"/>
      <c r="Z65" s="292"/>
      <c r="AA65" s="292"/>
      <c r="AB65" s="290"/>
      <c r="AC65" s="479"/>
    </row>
    <row r="66" spans="1:29">
      <c r="A66" s="474" t="s">
        <v>888</v>
      </c>
      <c r="B66" s="340">
        <f t="shared" ref="B66:O66" si="24">IF(OR(B18="A",B18="B"),ROUND(B109*B58*50%,0),ROUND(B109*B58*$B$4*50%,0))</f>
        <v>0</v>
      </c>
      <c r="C66" s="340">
        <f t="shared" si="24"/>
        <v>5625000</v>
      </c>
      <c r="D66" s="340">
        <f t="shared" si="24"/>
        <v>0</v>
      </c>
      <c r="E66" s="340">
        <f t="shared" si="24"/>
        <v>0</v>
      </c>
      <c r="F66" s="340">
        <f t="shared" si="24"/>
        <v>0</v>
      </c>
      <c r="G66" s="340">
        <f t="shared" si="24"/>
        <v>0</v>
      </c>
      <c r="H66" s="340">
        <f t="shared" si="24"/>
        <v>290062500</v>
      </c>
      <c r="I66" s="340">
        <f t="shared" si="24"/>
        <v>23205000</v>
      </c>
      <c r="J66" s="340">
        <f t="shared" si="24"/>
        <v>0</v>
      </c>
      <c r="K66" s="340">
        <f t="shared" si="24"/>
        <v>0</v>
      </c>
      <c r="L66" s="340">
        <f t="shared" si="24"/>
        <v>0</v>
      </c>
      <c r="M66" s="340">
        <f t="shared" si="24"/>
        <v>0</v>
      </c>
      <c r="N66" s="340">
        <f t="shared" si="24"/>
        <v>4875000</v>
      </c>
      <c r="O66" s="401">
        <f t="shared" si="24"/>
        <v>0</v>
      </c>
      <c r="P66" s="346">
        <f t="shared" si="22"/>
        <v>323767500</v>
      </c>
      <c r="Q66" s="347"/>
      <c r="R66" s="347"/>
      <c r="S66" s="347"/>
      <c r="T66" s="347"/>
      <c r="U66" s="347"/>
      <c r="V66" s="49" t="s">
        <v>423</v>
      </c>
      <c r="W66" s="39"/>
      <c r="X66" s="7"/>
      <c r="Y66" s="7"/>
      <c r="Z66" s="292"/>
      <c r="AA66" s="292"/>
      <c r="AB66" s="290"/>
      <c r="AC66" s="479"/>
    </row>
    <row r="67" spans="1:29">
      <c r="A67" s="474"/>
      <c r="B67" s="480"/>
      <c r="C67" s="480"/>
      <c r="D67" s="480"/>
      <c r="E67" s="480"/>
      <c r="F67" s="480"/>
      <c r="G67" s="480"/>
      <c r="H67" s="480"/>
      <c r="I67" s="480"/>
      <c r="J67" s="590"/>
      <c r="K67" s="480"/>
      <c r="L67" s="480"/>
      <c r="M67" s="480"/>
      <c r="N67" s="480"/>
      <c r="O67" s="588"/>
      <c r="P67" s="346"/>
      <c r="Q67" s="347"/>
      <c r="R67" s="347"/>
      <c r="S67" s="347"/>
      <c r="T67" s="347"/>
      <c r="U67" s="347"/>
      <c r="V67" s="49" t="s">
        <v>423</v>
      </c>
      <c r="W67" s="39"/>
      <c r="X67" s="7"/>
      <c r="Y67" s="7"/>
      <c r="Z67" s="292"/>
      <c r="AA67" s="292"/>
      <c r="AB67" s="290"/>
      <c r="AC67" s="479"/>
    </row>
    <row r="68" spans="1:29" ht="15.6">
      <c r="A68" s="411" t="s">
        <v>485</v>
      </c>
      <c r="B68" s="331"/>
      <c r="C68" s="332"/>
      <c r="D68" s="332"/>
      <c r="E68" s="340"/>
      <c r="F68" s="332"/>
      <c r="G68" s="332"/>
      <c r="H68" s="332"/>
      <c r="I68" s="332"/>
      <c r="J68" s="332"/>
      <c r="K68" s="340"/>
      <c r="L68" s="340"/>
      <c r="M68" s="340"/>
      <c r="N68" s="340"/>
      <c r="O68" s="401"/>
      <c r="P68" s="346"/>
      <c r="Q68" s="348"/>
      <c r="R68" s="348"/>
      <c r="S68" s="348"/>
      <c r="T68" s="348"/>
      <c r="U68" s="348"/>
      <c r="V68" s="33"/>
      <c r="W68" s="45"/>
      <c r="X68" s="13"/>
      <c r="Y68" s="13"/>
      <c r="Z68" s="13"/>
      <c r="AA68" s="13"/>
      <c r="AB68" s="13"/>
      <c r="AC68" s="18"/>
    </row>
    <row r="69" spans="1:29">
      <c r="A69" s="445" t="s">
        <v>490</v>
      </c>
      <c r="B69" s="332">
        <f>IF(OR(B18="A",B18="B"),IF(B11&lt;&gt;"C",ROUND(B109*12/52/40,0),B109),IF(B11&lt;&gt;"C",ROUND(B109*$B$4*12/52/40,0),B109*$B$4))</f>
        <v>28846</v>
      </c>
      <c r="C69" s="332">
        <f>IF(OR(C18="A",C18="B"),IF(C11&lt;&gt;"C",ROUND(C109*12/52/40,0),C109),IF(C11&lt;&gt;"C",ROUND(C109*$B$4*12/52/40,0),C109*$B$4))</f>
        <v>25962</v>
      </c>
      <c r="D69" s="332">
        <f>IF(OR(D18="A",D18="B"),IF(D11&lt;&gt;"C",ROUND(D109*12/52/40,0),D109),IF(D11&lt;&gt;"C",ROUND(D109*$B$4*12/52/40,0),D109*$B$4))</f>
        <v>40385</v>
      </c>
      <c r="E69" s="332">
        <f>IF(OR(E18="A",E18="B"),IF(E11&lt;&gt;"C",ROUND(E109*12/52/40,0),E109),IF(E11&lt;&gt;"C",ROUND(E109*$B$4*12/52/40,0),E109*$B$4))</f>
        <v>51923</v>
      </c>
      <c r="F69" s="332">
        <f>IF(OR(F18="A",F18="B"),IF(F11&lt;&gt;"C",ROUND(F109*12/52/40,0),F109),IF(F11&lt;&gt;"C",ROUND(F109*$B$4*12/52/40,0),F109*$B$4))</f>
        <v>80769</v>
      </c>
      <c r="G69" s="332">
        <f>IF(OR(G18="A",G18="B"),IF(G11&lt;&gt;"C",ROUND(G110*12/52/40,0),G110),IF(G11&lt;&gt;"C",ROUND(G110*$B$4*12/52/40,0),G110*$B$4))</f>
        <v>4641000</v>
      </c>
      <c r="H69" s="332">
        <f t="shared" ref="H69:O69" si="25">IF(OR(H18="A",H18="B"),IF(H11&lt;&gt;"C",ROUND(H109*12/52/40,0),H109),IF(H11&lt;&gt;"C",ROUND(H109*$B$4*12/52/40,0),H109*$B$4))</f>
        <v>669375</v>
      </c>
      <c r="I69" s="332">
        <f t="shared" si="25"/>
        <v>535500</v>
      </c>
      <c r="J69" s="332">
        <f t="shared" si="25"/>
        <v>288462</v>
      </c>
      <c r="K69" s="332">
        <f t="shared" si="25"/>
        <v>46154</v>
      </c>
      <c r="L69" s="332">
        <f t="shared" si="25"/>
        <v>519231</v>
      </c>
      <c r="M69" s="332">
        <f t="shared" si="25"/>
        <v>28846</v>
      </c>
      <c r="N69" s="332">
        <f t="shared" si="25"/>
        <v>37500</v>
      </c>
      <c r="O69" s="332">
        <f t="shared" si="25"/>
        <v>34615</v>
      </c>
      <c r="P69" s="346">
        <f t="shared" ref="P69:P77" si="26">SUM(B69:O69)</f>
        <v>7028568</v>
      </c>
      <c r="Q69" s="347"/>
      <c r="R69" s="347"/>
      <c r="S69" s="347"/>
      <c r="T69" s="347"/>
      <c r="U69" s="347"/>
      <c r="V69" s="33"/>
      <c r="W69" s="45"/>
      <c r="X69" s="13"/>
      <c r="Y69" s="13"/>
      <c r="Z69" s="13"/>
      <c r="AA69" s="13"/>
      <c r="AB69" s="13"/>
      <c r="AC69" s="18"/>
    </row>
    <row r="70" spans="1:29">
      <c r="A70" s="445" t="s">
        <v>501</v>
      </c>
      <c r="B70" s="332">
        <f>IF(OR(B18="A",B18="B"),ROUND(SUM(B109:B112,B114)*12/52/5*B13%,0),ROUND(SUM(B109:B112,B114)*12/52/5*$B$4*B13%,0))</f>
        <v>300000</v>
      </c>
      <c r="C70" s="332">
        <f>IF(OR(C18="A",C18="B"),ROUND(SUM(C109:C112,C114)*12/52/5*C13%,0),ROUND(SUM(C109:C112,C114)*12/52/5*$B$4*C13%,0))</f>
        <v>135000</v>
      </c>
      <c r="D70" s="332">
        <f>IF(OR(D18="A",D18="B"),ROUND(SUM(D109:D112,D114)*12/52/5*D13%,0),ROUND(SUM(D109:D112,D114)*12/52/5*$B$4*D13%,0))</f>
        <v>420000</v>
      </c>
      <c r="E70" s="332">
        <f>IF(OR(E18="A",E18="B"),ROUND(SUM(E109:E112,E114)*12/52/5*E13%,0),ROUND(SUM(E109:E112,E114)*12/52/5*$B$4*E13%,0))</f>
        <v>415385</v>
      </c>
      <c r="F70" s="332">
        <f>IF(OR(F18="A",F18="B"),ROUND(SUM(F109:F112,F114)*12/52/5*F13%,0),ROUND(SUM(F109:F112,F114)*12/52/5*$B$4*F13%,0))</f>
        <v>646154</v>
      </c>
      <c r="G70" s="332">
        <f>IF(OR(G18="A",G18="B"),ROUND(SUM(G110:G112,G114)*12/52/5*G13%,0),ROUND(SUM(G110:G112,G114)*12/52/5*$B$4*G13%,0))</f>
        <v>214200</v>
      </c>
      <c r="H70" s="332">
        <f t="shared" ref="H70:O70" si="27">IF(OR(H18="A",H18="B"),ROUND(SUM(H109:H112,H114)*12/52/5*H13%,0),ROUND(SUM(H109:H112,H114)*12/52/5*$B$4*H13%,0))</f>
        <v>3480750</v>
      </c>
      <c r="I70" s="332">
        <f t="shared" si="27"/>
        <v>4284000</v>
      </c>
      <c r="J70" s="332">
        <f t="shared" si="27"/>
        <v>1500000</v>
      </c>
      <c r="K70" s="332">
        <f t="shared" si="27"/>
        <v>480000</v>
      </c>
      <c r="L70" s="332">
        <f t="shared" si="27"/>
        <v>4153846</v>
      </c>
      <c r="M70" s="332">
        <f t="shared" si="27"/>
        <v>346154</v>
      </c>
      <c r="N70" s="332">
        <f t="shared" si="27"/>
        <v>415385</v>
      </c>
      <c r="O70" s="332">
        <f t="shared" si="27"/>
        <v>276923</v>
      </c>
      <c r="P70" s="346">
        <f t="shared" si="26"/>
        <v>17067797</v>
      </c>
      <c r="Q70" s="347"/>
      <c r="R70" s="347"/>
      <c r="S70" s="347"/>
      <c r="T70" s="347"/>
      <c r="U70" s="347"/>
      <c r="V70" s="33"/>
      <c r="W70" s="45"/>
      <c r="X70" s="13"/>
      <c r="Y70" s="13"/>
      <c r="Z70" s="13"/>
      <c r="AA70" s="13"/>
      <c r="AB70" s="13"/>
      <c r="AC70" s="18"/>
    </row>
    <row r="71" spans="1:29">
      <c r="A71" s="445" t="s">
        <v>502</v>
      </c>
      <c r="B71" s="332">
        <f>IF(OR(B18="A",B18="B"),ROUND(B109/B15,0),ROUND(B109*$B$4/B15,0))</f>
        <v>217391</v>
      </c>
      <c r="C71" s="332">
        <f>IF(OR(C18="A",C18="B"),ROUND(C109/C15,0),ROUND(C109*$B$4/C15,0))</f>
        <v>195652</v>
      </c>
      <c r="D71" s="332">
        <f>IF(OR(D18="A",D18="B"),ROUND(D109/D15,0),ROUND(D109*$B$4/D15,0))</f>
        <v>304348</v>
      </c>
      <c r="E71" s="332">
        <f>IF(OR(E18="A",E18="B"),ROUND(E109/E15,0),ROUND(E109*$B$4/E15,0))</f>
        <v>391304</v>
      </c>
      <c r="F71" s="332">
        <f>IF(OR(F18="A",F18="B"),ROUND(F109/F15,0),ROUND(F109*$B$4/F15,0))</f>
        <v>608696</v>
      </c>
      <c r="G71" s="332">
        <f>IF(OR(G18="A",G18="B"),ROUND(G110/G15,0),ROUND(G110*$B$4/G15,0))</f>
        <v>201783</v>
      </c>
      <c r="H71" s="332">
        <f t="shared" ref="H71:O71" si="28">IF(OR(H18="A",H18="B"),ROUND(H109/H15,0),ROUND(H109*$B$4/H15,0))</f>
        <v>5044565</v>
      </c>
      <c r="I71" s="332">
        <f t="shared" si="28"/>
        <v>4035652</v>
      </c>
      <c r="J71" s="332">
        <f t="shared" si="28"/>
        <v>2173913</v>
      </c>
      <c r="K71" s="332">
        <f t="shared" si="28"/>
        <v>347826</v>
      </c>
      <c r="L71" s="332">
        <f t="shared" si="28"/>
        <v>3913043</v>
      </c>
      <c r="M71" s="332">
        <f t="shared" si="28"/>
        <v>217391</v>
      </c>
      <c r="N71" s="332">
        <f t="shared" si="28"/>
        <v>282609</v>
      </c>
      <c r="O71" s="332">
        <f t="shared" si="28"/>
        <v>260870</v>
      </c>
      <c r="P71" s="346">
        <f t="shared" si="26"/>
        <v>18195043</v>
      </c>
      <c r="Q71" s="347"/>
      <c r="R71" s="347"/>
      <c r="S71" s="347"/>
      <c r="T71" s="347"/>
      <c r="U71" s="347"/>
      <c r="V71" s="32"/>
      <c r="W71" s="44"/>
      <c r="X71" s="13"/>
      <c r="Y71" s="13"/>
      <c r="Z71" s="13"/>
      <c r="AA71" s="13"/>
      <c r="AB71" s="13"/>
      <c r="AC71" s="18"/>
    </row>
    <row r="72" spans="1:29">
      <c r="A72" s="445" t="s">
        <v>628</v>
      </c>
      <c r="B72" s="332">
        <f t="shared" ref="B72:O72" si="29">IF(OR(B18="A",B18="B"),ROUND(SUM(B111:B113,B115:B117)/B15,0),ROUND(SUM(B111:B113,B115:B117)*$B$4/B15,0))</f>
        <v>65217</v>
      </c>
      <c r="C72" s="332">
        <f t="shared" si="29"/>
        <v>58696</v>
      </c>
      <c r="D72" s="332">
        <f t="shared" si="29"/>
        <v>91304</v>
      </c>
      <c r="E72" s="332">
        <f t="shared" si="29"/>
        <v>0</v>
      </c>
      <c r="F72" s="332">
        <f t="shared" si="29"/>
        <v>0</v>
      </c>
      <c r="G72" s="332">
        <f t="shared" si="29"/>
        <v>0</v>
      </c>
      <c r="H72" s="332">
        <f t="shared" si="29"/>
        <v>1513370</v>
      </c>
      <c r="I72" s="332">
        <f t="shared" si="29"/>
        <v>0</v>
      </c>
      <c r="J72" s="332">
        <f t="shared" si="29"/>
        <v>652174</v>
      </c>
      <c r="K72" s="332">
        <f t="shared" si="29"/>
        <v>104348</v>
      </c>
      <c r="L72" s="332">
        <f t="shared" si="29"/>
        <v>0</v>
      </c>
      <c r="M72" s="332">
        <f t="shared" si="29"/>
        <v>108696</v>
      </c>
      <c r="N72" s="332">
        <f t="shared" si="29"/>
        <v>108696</v>
      </c>
      <c r="O72" s="332">
        <f t="shared" si="29"/>
        <v>0</v>
      </c>
      <c r="P72" s="346">
        <f t="shared" si="26"/>
        <v>2702501</v>
      </c>
      <c r="Q72" s="347"/>
      <c r="R72" s="347"/>
      <c r="S72" s="347"/>
      <c r="T72" s="347"/>
      <c r="U72" s="347"/>
      <c r="V72" s="34"/>
      <c r="W72" s="46"/>
      <c r="X72" s="35"/>
      <c r="Y72" s="35"/>
      <c r="Z72" s="35"/>
      <c r="AA72" s="35"/>
      <c r="AB72" s="35"/>
      <c r="AC72" s="36"/>
    </row>
    <row r="73" spans="1:29">
      <c r="A73" s="445" t="s">
        <v>503</v>
      </c>
      <c r="B73" s="7">
        <f t="shared" ref="B73:O73" si="30">B14/B15*100%</f>
        <v>1</v>
      </c>
      <c r="C73" s="7">
        <f t="shared" si="30"/>
        <v>1</v>
      </c>
      <c r="D73" s="7">
        <f t="shared" si="30"/>
        <v>1</v>
      </c>
      <c r="E73" s="7">
        <f t="shared" si="30"/>
        <v>1</v>
      </c>
      <c r="F73" s="7">
        <f t="shared" si="30"/>
        <v>1</v>
      </c>
      <c r="G73" s="7">
        <f t="shared" si="30"/>
        <v>1</v>
      </c>
      <c r="H73" s="7">
        <f t="shared" si="30"/>
        <v>1</v>
      </c>
      <c r="I73" s="7">
        <f t="shared" si="30"/>
        <v>1</v>
      </c>
      <c r="J73" s="7">
        <f t="shared" si="30"/>
        <v>1</v>
      </c>
      <c r="K73" s="7">
        <f t="shared" si="30"/>
        <v>1</v>
      </c>
      <c r="L73" s="7">
        <f t="shared" si="30"/>
        <v>1</v>
      </c>
      <c r="M73" s="7">
        <f t="shared" si="30"/>
        <v>1</v>
      </c>
      <c r="N73" s="7">
        <f t="shared" si="30"/>
        <v>1</v>
      </c>
      <c r="O73" s="12">
        <f t="shared" si="30"/>
        <v>1</v>
      </c>
      <c r="P73" s="478">
        <f t="shared" si="26"/>
        <v>14</v>
      </c>
      <c r="Q73" s="347"/>
      <c r="R73" s="347"/>
      <c r="S73" s="347"/>
      <c r="T73" s="347"/>
      <c r="U73" s="347"/>
    </row>
    <row r="74" spans="1:29">
      <c r="A74" s="445" t="s">
        <v>504</v>
      </c>
      <c r="B74" s="7">
        <f t="shared" ref="B74:O74" si="31">(B14-B118)/261*100%</f>
        <v>8.8122605363984668E-2</v>
      </c>
      <c r="C74" s="7">
        <f t="shared" si="31"/>
        <v>8.8122605363984668E-2</v>
      </c>
      <c r="D74" s="7">
        <f t="shared" si="31"/>
        <v>8.8122605363984668E-2</v>
      </c>
      <c r="E74" s="7">
        <f t="shared" si="31"/>
        <v>8.8122605363984668E-2</v>
      </c>
      <c r="F74" s="7">
        <f t="shared" si="31"/>
        <v>8.8122605363984668E-2</v>
      </c>
      <c r="G74" s="7">
        <f t="shared" si="31"/>
        <v>8.8122605363984668E-2</v>
      </c>
      <c r="H74" s="7">
        <f t="shared" si="31"/>
        <v>8.8122605363984668E-2</v>
      </c>
      <c r="I74" s="7">
        <f t="shared" si="31"/>
        <v>8.8122605363984668E-2</v>
      </c>
      <c r="J74" s="7">
        <f t="shared" si="31"/>
        <v>8.8122605363984668E-2</v>
      </c>
      <c r="K74" s="7">
        <f t="shared" si="31"/>
        <v>8.8122605363984668E-2</v>
      </c>
      <c r="L74" s="7">
        <f t="shared" si="31"/>
        <v>8.8122605363984668E-2</v>
      </c>
      <c r="M74" s="7">
        <f t="shared" si="31"/>
        <v>8.8122605363984668E-2</v>
      </c>
      <c r="N74" s="7">
        <f t="shared" si="31"/>
        <v>8.8122605363984668E-2</v>
      </c>
      <c r="O74" s="7">
        <f t="shared" si="31"/>
        <v>8.8122605363984668E-2</v>
      </c>
      <c r="P74" s="478">
        <f t="shared" si="26"/>
        <v>1.2337164750957854</v>
      </c>
      <c r="Q74" s="347"/>
      <c r="R74" s="347"/>
      <c r="S74" s="347"/>
      <c r="T74" s="347"/>
      <c r="U74" s="347"/>
      <c r="V74"/>
      <c r="W74"/>
      <c r="X74"/>
      <c r="Y74"/>
      <c r="Z74"/>
      <c r="AA74"/>
      <c r="AB74"/>
      <c r="AC74"/>
    </row>
    <row r="75" spans="1:29">
      <c r="A75" s="445" t="s">
        <v>505</v>
      </c>
      <c r="B75" s="7">
        <f t="shared" ref="B75:O75" si="32">B120/B15*100%</f>
        <v>0</v>
      </c>
      <c r="C75" s="7">
        <f t="shared" si="32"/>
        <v>0</v>
      </c>
      <c r="D75" s="7">
        <f t="shared" si="32"/>
        <v>0</v>
      </c>
      <c r="E75" s="7">
        <f t="shared" si="32"/>
        <v>0</v>
      </c>
      <c r="F75" s="7">
        <f t="shared" si="32"/>
        <v>0</v>
      </c>
      <c r="G75" s="7">
        <f t="shared" si="32"/>
        <v>0</v>
      </c>
      <c r="H75" s="7">
        <f t="shared" si="32"/>
        <v>0</v>
      </c>
      <c r="I75" s="7">
        <f t="shared" si="32"/>
        <v>0</v>
      </c>
      <c r="J75" s="7">
        <f t="shared" si="32"/>
        <v>0</v>
      </c>
      <c r="K75" s="7">
        <f t="shared" si="32"/>
        <v>0</v>
      </c>
      <c r="L75" s="7">
        <f t="shared" si="32"/>
        <v>0</v>
      </c>
      <c r="M75" s="7">
        <f t="shared" si="32"/>
        <v>0</v>
      </c>
      <c r="N75" s="7">
        <f t="shared" si="32"/>
        <v>0</v>
      </c>
      <c r="O75" s="12">
        <f t="shared" si="32"/>
        <v>0</v>
      </c>
      <c r="P75" s="478">
        <f t="shared" si="26"/>
        <v>0</v>
      </c>
      <c r="Q75" s="347"/>
      <c r="R75" s="347"/>
      <c r="S75" s="347"/>
      <c r="T75" s="347"/>
      <c r="U75" s="347"/>
      <c r="V75"/>
      <c r="W75"/>
      <c r="X75"/>
      <c r="Y75"/>
      <c r="Z75"/>
      <c r="AA75"/>
      <c r="AB75"/>
      <c r="AC75"/>
    </row>
    <row r="76" spans="1:29">
      <c r="A76" s="415" t="s">
        <v>494</v>
      </c>
      <c r="B76" s="331">
        <f>ROUND(AA23*B16/365,0)</f>
        <v>679452</v>
      </c>
      <c r="C76" s="332">
        <f>ROUND(AA24*C16/365,0)</f>
        <v>679452</v>
      </c>
      <c r="E76" s="332">
        <f>ROUND(AA25*E16/365,0)</f>
        <v>679452</v>
      </c>
      <c r="F76" s="332">
        <f>ROUND(AA26*F16/365,0)</f>
        <v>679452</v>
      </c>
      <c r="G76" s="332"/>
      <c r="H76" s="332">
        <f>ROUND(AA27*G16/365,0)</f>
        <v>679452</v>
      </c>
      <c r="I76" s="332"/>
      <c r="J76" s="332"/>
      <c r="K76" s="340"/>
      <c r="L76" s="340"/>
      <c r="M76" s="340"/>
      <c r="N76" s="340"/>
      <c r="O76" s="401"/>
      <c r="P76" s="346">
        <f t="shared" si="26"/>
        <v>3397260</v>
      </c>
      <c r="Q76" s="347"/>
      <c r="R76" s="347"/>
      <c r="S76" s="347"/>
      <c r="T76" s="347"/>
      <c r="U76" s="347"/>
      <c r="V76"/>
      <c r="W76"/>
      <c r="X76"/>
      <c r="Y76"/>
      <c r="Z76"/>
      <c r="AA76"/>
      <c r="AB76"/>
      <c r="AC76"/>
    </row>
    <row r="77" spans="1:29">
      <c r="A77" s="412" t="s">
        <v>536</v>
      </c>
      <c r="B77" s="331"/>
      <c r="C77" s="332"/>
      <c r="E77" s="332"/>
      <c r="F77" s="332"/>
      <c r="G77" s="332"/>
      <c r="H77" s="332">
        <f>ROUND(AA32*G16/365,0)</f>
        <v>594521</v>
      </c>
      <c r="I77" s="332"/>
      <c r="J77" s="332"/>
      <c r="K77" s="332"/>
      <c r="L77" s="332"/>
      <c r="M77" s="332"/>
      <c r="N77" s="332"/>
      <c r="O77" s="400"/>
      <c r="P77" s="346">
        <f t="shared" si="26"/>
        <v>594521</v>
      </c>
      <c r="Q77" s="347"/>
      <c r="R77" s="347"/>
      <c r="S77" s="347"/>
      <c r="T77" s="347"/>
      <c r="U77" s="347"/>
      <c r="V77"/>
      <c r="W77"/>
      <c r="X77"/>
      <c r="Y77"/>
      <c r="Z77"/>
      <c r="AA77"/>
      <c r="AB77"/>
      <c r="AC77"/>
    </row>
    <row r="78" spans="1:29">
      <c r="A78" s="412" t="s">
        <v>613</v>
      </c>
      <c r="B78" s="402"/>
      <c r="C78" s="80"/>
      <c r="D78" s="332"/>
      <c r="E78" s="332"/>
      <c r="F78" s="332"/>
      <c r="G78" s="332"/>
      <c r="H78" s="332">
        <f>AA33*B4</f>
        <v>2320500</v>
      </c>
      <c r="I78" s="332">
        <f>AA34*B4</f>
        <v>2320500</v>
      </c>
      <c r="J78" s="332"/>
      <c r="K78" s="340"/>
      <c r="L78" s="340"/>
      <c r="M78" s="340"/>
      <c r="N78" s="340"/>
      <c r="O78" s="401"/>
      <c r="P78" s="355">
        <f>SUM(D78:O78)</f>
        <v>4641000</v>
      </c>
      <c r="Q78" s="379"/>
      <c r="R78" s="379"/>
      <c r="S78" s="379"/>
      <c r="T78" s="379"/>
      <c r="U78" s="379"/>
      <c r="V78"/>
      <c r="W78"/>
      <c r="X78"/>
      <c r="Y78"/>
      <c r="Z78"/>
      <c r="AA78"/>
      <c r="AB78"/>
      <c r="AC78"/>
    </row>
    <row r="79" spans="1:29">
      <c r="A79" s="412" t="s">
        <v>614</v>
      </c>
      <c r="B79" s="402"/>
      <c r="C79" s="80"/>
      <c r="D79" s="332"/>
      <c r="E79" s="332"/>
      <c r="F79" s="332"/>
      <c r="G79" s="332"/>
      <c r="H79" s="332">
        <f>AA35*B4</f>
        <v>4641000</v>
      </c>
      <c r="I79" s="332">
        <f>AA36*B4</f>
        <v>4641000</v>
      </c>
      <c r="J79" s="332"/>
      <c r="K79" s="340"/>
      <c r="L79" s="340"/>
      <c r="M79" s="340"/>
      <c r="N79" s="340"/>
      <c r="O79" s="401"/>
      <c r="P79" s="355">
        <f>SUM(D79:O79)</f>
        <v>9282000</v>
      </c>
      <c r="Q79" s="379"/>
      <c r="R79" s="379"/>
      <c r="S79" s="379"/>
      <c r="T79" s="379"/>
      <c r="U79" s="379"/>
      <c r="V79"/>
      <c r="W79"/>
      <c r="X79"/>
      <c r="Y79"/>
      <c r="Z79"/>
      <c r="AA79"/>
      <c r="AB79"/>
      <c r="AC79"/>
    </row>
    <row r="80" spans="1:29">
      <c r="A80" s="412"/>
      <c r="B80" s="331"/>
      <c r="C80" s="332"/>
      <c r="D80" s="332"/>
      <c r="E80" s="340"/>
      <c r="F80" s="332"/>
      <c r="G80" s="332"/>
      <c r="H80" s="332"/>
      <c r="I80" s="332"/>
      <c r="J80" s="332"/>
      <c r="K80" s="340"/>
      <c r="L80" s="340"/>
      <c r="M80" s="340"/>
      <c r="N80" s="340"/>
      <c r="O80" s="401"/>
      <c r="P80" s="346"/>
      <c r="Q80" s="347"/>
      <c r="R80" s="347"/>
      <c r="S80" s="347"/>
      <c r="T80" s="347"/>
      <c r="U80" s="347"/>
    </row>
    <row r="81" spans="1:21">
      <c r="A81" s="412" t="s">
        <v>579</v>
      </c>
      <c r="B81" s="331">
        <f t="shared" ref="B81:O81" si="33">SUM(B24:B28)</f>
        <v>6500000</v>
      </c>
      <c r="C81" s="332">
        <f t="shared" si="33"/>
        <v>5850000</v>
      </c>
      <c r="D81" s="332">
        <f t="shared" si="33"/>
        <v>9100000</v>
      </c>
      <c r="E81" s="332">
        <f t="shared" si="33"/>
        <v>9000000</v>
      </c>
      <c r="F81" s="332">
        <f t="shared" si="33"/>
        <v>14000000</v>
      </c>
      <c r="G81" s="332">
        <f t="shared" si="33"/>
        <v>46410000</v>
      </c>
      <c r="H81" s="332">
        <f t="shared" si="33"/>
        <v>143871000</v>
      </c>
      <c r="I81" s="332">
        <f t="shared" si="33"/>
        <v>85858500</v>
      </c>
      <c r="J81" s="332">
        <f t="shared" si="33"/>
        <v>65000000</v>
      </c>
      <c r="K81" s="332">
        <f t="shared" si="33"/>
        <v>10400000</v>
      </c>
      <c r="L81" s="332">
        <f t="shared" si="33"/>
        <v>90000000</v>
      </c>
      <c r="M81" s="332">
        <f t="shared" si="33"/>
        <v>7500000</v>
      </c>
      <c r="N81" s="332">
        <f t="shared" si="33"/>
        <v>9000000</v>
      </c>
      <c r="O81" s="400">
        <f t="shared" si="33"/>
        <v>6000000</v>
      </c>
      <c r="P81" s="346">
        <f t="shared" ref="P81:P93" si="34">SUM(B81:O81)</f>
        <v>508489500</v>
      </c>
      <c r="Q81" s="347"/>
      <c r="R81" s="347"/>
      <c r="S81" s="347"/>
      <c r="T81" s="347"/>
      <c r="U81" s="347"/>
    </row>
    <row r="82" spans="1:21">
      <c r="A82" s="445" t="s">
        <v>580</v>
      </c>
      <c r="B82" s="332">
        <f t="shared" ref="B82:O82" si="35">SUM(B24:B27,B30,B31)</f>
        <v>7380722</v>
      </c>
      <c r="C82" s="332">
        <f t="shared" si="35"/>
        <v>6931992</v>
      </c>
      <c r="D82" s="332">
        <f t="shared" si="35"/>
        <v>9100000</v>
      </c>
      <c r="E82" s="332">
        <f t="shared" si="35"/>
        <v>9981357</v>
      </c>
      <c r="F82" s="332">
        <f t="shared" si="35"/>
        <v>14679452</v>
      </c>
      <c r="G82" s="332">
        <f t="shared" si="35"/>
        <v>46410000</v>
      </c>
      <c r="H82" s="332">
        <f t="shared" si="35"/>
        <v>153933056</v>
      </c>
      <c r="I82" s="332">
        <f t="shared" si="35"/>
        <v>85858500</v>
      </c>
      <c r="J82" s="332">
        <f t="shared" si="35"/>
        <v>65000000</v>
      </c>
      <c r="K82" s="332">
        <f t="shared" si="35"/>
        <v>10400000</v>
      </c>
      <c r="L82" s="332">
        <f t="shared" si="35"/>
        <v>90000000</v>
      </c>
      <c r="M82" s="332">
        <f t="shared" si="35"/>
        <v>7500000</v>
      </c>
      <c r="N82" s="332">
        <f t="shared" si="35"/>
        <v>9000000</v>
      </c>
      <c r="O82" s="332">
        <f t="shared" si="35"/>
        <v>6000000</v>
      </c>
      <c r="P82" s="346">
        <f t="shared" si="34"/>
        <v>522175079</v>
      </c>
      <c r="Q82" s="347"/>
      <c r="R82" s="347"/>
      <c r="S82" s="347"/>
      <c r="T82" s="347"/>
      <c r="U82" s="347"/>
    </row>
    <row r="83" spans="1:21">
      <c r="A83" s="445" t="s">
        <v>581</v>
      </c>
      <c r="B83" s="332">
        <f t="shared" ref="B83:O83" si="36">IF(OR(B18="A",B18="B"),SUM(B109,B111,B112,B114),B124)</f>
        <v>6500000</v>
      </c>
      <c r="C83" s="332">
        <f t="shared" si="36"/>
        <v>5850000</v>
      </c>
      <c r="D83" s="332">
        <f t="shared" si="36"/>
        <v>9100000</v>
      </c>
      <c r="E83" s="332">
        <f t="shared" si="36"/>
        <v>9000000</v>
      </c>
      <c r="F83" s="332">
        <f t="shared" si="36"/>
        <v>14000000</v>
      </c>
      <c r="G83" s="368">
        <f t="shared" si="36"/>
        <v>0</v>
      </c>
      <c r="H83" s="360">
        <f t="shared" si="36"/>
        <v>145700000</v>
      </c>
      <c r="I83" s="360">
        <f t="shared" si="36"/>
        <v>86950000</v>
      </c>
      <c r="J83" s="332">
        <f t="shared" si="36"/>
        <v>65000000</v>
      </c>
      <c r="K83" s="332">
        <f t="shared" si="36"/>
        <v>10400000</v>
      </c>
      <c r="L83" s="332">
        <f t="shared" si="36"/>
        <v>90000000</v>
      </c>
      <c r="M83" s="332">
        <f t="shared" si="36"/>
        <v>7500000</v>
      </c>
      <c r="N83" s="332">
        <f t="shared" si="36"/>
        <v>9000000</v>
      </c>
      <c r="O83" s="332">
        <f t="shared" si="36"/>
        <v>6000000</v>
      </c>
      <c r="P83" s="346">
        <f t="shared" si="34"/>
        <v>465000000</v>
      </c>
      <c r="Q83" s="347"/>
      <c r="R83" s="347"/>
      <c r="S83" s="347"/>
      <c r="T83" s="347"/>
      <c r="U83" s="347"/>
    </row>
    <row r="84" spans="1:21">
      <c r="A84" s="412" t="s">
        <v>586</v>
      </c>
      <c r="B84" s="332">
        <f t="shared" ref="B84:O84" si="37">IF(OR(B18="A",B18="B"),SUM(B123,B111,B112,B115,B116,B114),SUM(B123,B114)*$B$4)</f>
        <v>6500000</v>
      </c>
      <c r="C84" s="332">
        <f t="shared" si="37"/>
        <v>5850000</v>
      </c>
      <c r="D84" s="332">
        <f t="shared" si="37"/>
        <v>9100000</v>
      </c>
      <c r="E84" s="332">
        <f t="shared" si="37"/>
        <v>9000000</v>
      </c>
      <c r="F84" s="332">
        <f t="shared" si="37"/>
        <v>14000000</v>
      </c>
      <c r="G84" s="332">
        <f t="shared" si="37"/>
        <v>0</v>
      </c>
      <c r="H84" s="332">
        <f t="shared" si="37"/>
        <v>109063500</v>
      </c>
      <c r="I84" s="332">
        <f t="shared" si="37"/>
        <v>85858500</v>
      </c>
      <c r="J84" s="332">
        <f t="shared" si="37"/>
        <v>65000000</v>
      </c>
      <c r="K84" s="332">
        <f t="shared" si="37"/>
        <v>10400000</v>
      </c>
      <c r="L84" s="332">
        <f t="shared" si="37"/>
        <v>90000000</v>
      </c>
      <c r="M84" s="332">
        <f t="shared" si="37"/>
        <v>7500000</v>
      </c>
      <c r="N84" s="332">
        <f t="shared" si="37"/>
        <v>9000000</v>
      </c>
      <c r="O84" s="400">
        <f t="shared" si="37"/>
        <v>6000000</v>
      </c>
      <c r="P84" s="346">
        <f t="shared" si="34"/>
        <v>427272000</v>
      </c>
      <c r="Q84" s="380"/>
      <c r="R84" s="380"/>
      <c r="S84" s="380"/>
      <c r="T84" s="380"/>
      <c r="U84" s="380"/>
    </row>
    <row r="85" spans="1:21">
      <c r="A85" s="412" t="s">
        <v>483</v>
      </c>
      <c r="B85" s="332">
        <f>ROUND('UAT4-Apr'!B70/4,0)</f>
        <v>8400000</v>
      </c>
      <c r="C85" s="332">
        <f>ROUND('UAT4-Apr'!C70/4,0)</f>
        <v>8115000</v>
      </c>
      <c r="D85" s="332">
        <f>ROUND('UAT4-Apr'!D70/4,0)</f>
        <v>11365000</v>
      </c>
      <c r="E85" s="332">
        <f>ROUND('UAT4-Apr'!E70/4,0)</f>
        <v>9900000</v>
      </c>
      <c r="F85" s="332">
        <f>ROUND('UAT4-Apr'!F70/4,0)</f>
        <v>14900000</v>
      </c>
      <c r="G85" s="332">
        <f>ROUND('UAT4-Apr'!G70/4,0)</f>
        <v>0</v>
      </c>
      <c r="H85" s="332">
        <f>ROUND('UAT4-Apr'!H70/4,0)</f>
        <v>130528125</v>
      </c>
      <c r="I85" s="332">
        <f>ROUND('UAT4-Apr'!I70/4,0)</f>
        <v>89745338</v>
      </c>
      <c r="J85" s="332">
        <f>ROUND('UAT4-Apr'!J70/4,0)</f>
        <v>65000000</v>
      </c>
      <c r="K85" s="332">
        <f>ROUND('UAT4-Apr'!K70/4,0)</f>
        <v>10765000</v>
      </c>
      <c r="L85" s="332">
        <f>ROUND('UAT4-Apr'!L70/4,0)</f>
        <v>90000000</v>
      </c>
      <c r="M85" s="332">
        <f>ROUND('UAT4-Apr'!M70/4,0)</f>
        <v>7500000</v>
      </c>
      <c r="N85" s="332">
        <f>ROUND('UAT4-Apr'!N70/4,0)</f>
        <v>9000000</v>
      </c>
      <c r="O85" s="332">
        <f>ROUND('UAT4-Apr'!O70/4,0)</f>
        <v>0</v>
      </c>
      <c r="P85" s="346">
        <f t="shared" si="34"/>
        <v>455218463</v>
      </c>
      <c r="Q85" s="347"/>
      <c r="R85" s="347"/>
      <c r="S85" s="347"/>
      <c r="T85" s="347"/>
      <c r="U85" s="347"/>
    </row>
    <row r="86" spans="1:21">
      <c r="A86" s="445" t="s">
        <v>486</v>
      </c>
      <c r="B86" s="332">
        <f>B82</f>
        <v>7380722</v>
      </c>
      <c r="C86" s="332">
        <f t="shared" ref="C86:O86" si="38">C82</f>
        <v>6931992</v>
      </c>
      <c r="D86" s="332">
        <f t="shared" si="38"/>
        <v>9100000</v>
      </c>
      <c r="E86" s="332">
        <f t="shared" si="38"/>
        <v>9981357</v>
      </c>
      <c r="F86" s="332">
        <f t="shared" si="38"/>
        <v>14679452</v>
      </c>
      <c r="G86" s="332">
        <f t="shared" si="38"/>
        <v>46410000</v>
      </c>
      <c r="H86" s="332">
        <f t="shared" si="38"/>
        <v>153933056</v>
      </c>
      <c r="I86" s="332">
        <f t="shared" si="38"/>
        <v>85858500</v>
      </c>
      <c r="J86" s="332">
        <f t="shared" si="38"/>
        <v>65000000</v>
      </c>
      <c r="K86" s="332">
        <f t="shared" si="38"/>
        <v>10400000</v>
      </c>
      <c r="L86" s="332">
        <f t="shared" si="38"/>
        <v>90000000</v>
      </c>
      <c r="M86" s="332">
        <f t="shared" si="38"/>
        <v>7500000</v>
      </c>
      <c r="N86" s="332">
        <f t="shared" si="38"/>
        <v>9000000</v>
      </c>
      <c r="O86" s="400">
        <f t="shared" si="38"/>
        <v>6000000</v>
      </c>
      <c r="P86" s="346">
        <f t="shared" si="34"/>
        <v>522175079</v>
      </c>
      <c r="Q86" s="347"/>
      <c r="R86" s="347"/>
      <c r="S86" s="347"/>
      <c r="T86" s="347"/>
      <c r="U86" s="347"/>
    </row>
    <row r="87" spans="1:21">
      <c r="A87" s="445" t="s">
        <v>607</v>
      </c>
      <c r="B87" s="332">
        <f t="shared" ref="B87:O87" si="39">SUM(B37:B39)</f>
        <v>682500</v>
      </c>
      <c r="C87" s="332">
        <f t="shared" si="39"/>
        <v>614250</v>
      </c>
      <c r="D87" s="332">
        <f t="shared" si="39"/>
        <v>227500</v>
      </c>
      <c r="E87" s="332">
        <f t="shared" si="39"/>
        <v>945000</v>
      </c>
      <c r="F87" s="332">
        <f t="shared" si="39"/>
        <v>0</v>
      </c>
      <c r="G87" s="332">
        <f t="shared" si="39"/>
        <v>0</v>
      </c>
      <c r="H87" s="332">
        <f t="shared" si="39"/>
        <v>1254000</v>
      </c>
      <c r="I87" s="332">
        <f t="shared" si="39"/>
        <v>1254000</v>
      </c>
      <c r="J87" s="332">
        <f t="shared" si="39"/>
        <v>6825000</v>
      </c>
      <c r="K87" s="332">
        <f t="shared" si="39"/>
        <v>0</v>
      </c>
      <c r="L87" s="332">
        <f t="shared" si="39"/>
        <v>8778000</v>
      </c>
      <c r="M87" s="332">
        <f t="shared" si="39"/>
        <v>0</v>
      </c>
      <c r="N87" s="332">
        <f t="shared" si="39"/>
        <v>0</v>
      </c>
      <c r="O87" s="400">
        <f t="shared" si="39"/>
        <v>0</v>
      </c>
      <c r="P87" s="346">
        <f t="shared" si="34"/>
        <v>20580250</v>
      </c>
      <c r="Q87" s="347"/>
      <c r="R87" s="347"/>
      <c r="S87" s="347"/>
      <c r="T87" s="347"/>
      <c r="U87" s="347"/>
    </row>
    <row r="88" spans="1:21">
      <c r="A88" s="445" t="s">
        <v>902</v>
      </c>
      <c r="B88" s="332">
        <f t="shared" ref="B88:O88" si="40">IF(OR(B18="A",B18="C"),B86-B87,B86)</f>
        <v>6698222</v>
      </c>
      <c r="C88" s="332">
        <f t="shared" si="40"/>
        <v>6317742</v>
      </c>
      <c r="D88" s="332">
        <f t="shared" si="40"/>
        <v>8872500</v>
      </c>
      <c r="E88" s="332">
        <f t="shared" si="40"/>
        <v>9981357</v>
      </c>
      <c r="F88" s="332">
        <f t="shared" si="40"/>
        <v>14679452</v>
      </c>
      <c r="G88" s="332">
        <f t="shared" si="40"/>
        <v>46410000</v>
      </c>
      <c r="H88" s="332">
        <f t="shared" si="40"/>
        <v>153933056</v>
      </c>
      <c r="I88" s="332">
        <f t="shared" si="40"/>
        <v>85858500</v>
      </c>
      <c r="J88" s="332">
        <f t="shared" si="40"/>
        <v>58175000</v>
      </c>
      <c r="K88" s="332">
        <f t="shared" si="40"/>
        <v>10400000</v>
      </c>
      <c r="L88" s="332">
        <f t="shared" si="40"/>
        <v>81222000</v>
      </c>
      <c r="M88" s="332">
        <f t="shared" si="40"/>
        <v>7500000</v>
      </c>
      <c r="N88" s="332">
        <f t="shared" si="40"/>
        <v>9000000</v>
      </c>
      <c r="O88" s="400">
        <f t="shared" si="40"/>
        <v>6000000</v>
      </c>
      <c r="P88" s="346">
        <f t="shared" si="34"/>
        <v>505047829</v>
      </c>
      <c r="Q88" s="347"/>
      <c r="R88" s="347"/>
      <c r="S88" s="347"/>
      <c r="T88" s="347"/>
      <c r="U88" s="347"/>
    </row>
    <row r="89" spans="1:21">
      <c r="A89" s="445" t="s">
        <v>903</v>
      </c>
      <c r="B89" s="332">
        <f t="shared" ref="B89:O89" si="41">IF(OR(B18="A",B18="C"),MAX(B88-B21-B20*B19,0),B88)</f>
        <v>0</v>
      </c>
      <c r="C89" s="332">
        <f t="shared" si="41"/>
        <v>0</v>
      </c>
      <c r="D89" s="332">
        <f t="shared" si="41"/>
        <v>0</v>
      </c>
      <c r="E89" s="332">
        <f t="shared" si="41"/>
        <v>9981357</v>
      </c>
      <c r="F89" s="332">
        <f t="shared" si="41"/>
        <v>14679452</v>
      </c>
      <c r="G89" s="332">
        <f t="shared" si="41"/>
        <v>37410000</v>
      </c>
      <c r="H89" s="332">
        <f t="shared" si="41"/>
        <v>153933056</v>
      </c>
      <c r="I89" s="332">
        <f t="shared" si="41"/>
        <v>85858500</v>
      </c>
      <c r="J89" s="332">
        <f t="shared" si="41"/>
        <v>49175000</v>
      </c>
      <c r="K89" s="332">
        <f t="shared" si="41"/>
        <v>1400000</v>
      </c>
      <c r="L89" s="332">
        <f t="shared" si="41"/>
        <v>72222000</v>
      </c>
      <c r="M89" s="332">
        <f t="shared" si="41"/>
        <v>0</v>
      </c>
      <c r="N89" s="332">
        <f t="shared" si="41"/>
        <v>0</v>
      </c>
      <c r="O89" s="400">
        <f t="shared" si="41"/>
        <v>6000000</v>
      </c>
      <c r="P89" s="346">
        <f t="shared" si="34"/>
        <v>430659365</v>
      </c>
      <c r="Q89" s="347"/>
      <c r="R89" s="347"/>
      <c r="S89" s="347"/>
      <c r="T89" s="347"/>
      <c r="U89" s="347"/>
    </row>
    <row r="90" spans="1:21">
      <c r="A90" s="445" t="s">
        <v>906</v>
      </c>
      <c r="B90" s="332">
        <f>IF(OR(B18="A",B18="C"),ROUND(MAX(B89*{5;10;15;20;25;30;35}%-{0;0.25;0.75;1.65;3.25;5.85;9.85}*1000000,0),0),IF(B18="B",IF(B89&lt;2000000,0,ROUND(B89*10%,0)),ROUND(B89*20%,0)))</f>
        <v>0</v>
      </c>
      <c r="C90" s="332">
        <f>IF(OR(C18="A",C18="C"),ROUND(MAX(C89*{5;10;15;20;25;30;35}%-{0;0.25;0.75;1.65;3.25;5.85;9.85}*1000000,0),0),IF(C18="B",IF(C89&lt;2000000,0,ROUND(C89*10%,0)),ROUND(C89*20%,0)))</f>
        <v>0</v>
      </c>
      <c r="D90" s="332">
        <f>IF(OR(D18="A",D18="C"),ROUND(MAX(D89*{5;10;15;20;25;30;35}%-{0;0.25;0.75;1.65;3.25;5.85;9.85}*1000000,0),0),IF(D18="B",IF(D89&lt;2000000,0,ROUND(D89*10%,0)),ROUND(D89*20%,0)))</f>
        <v>0</v>
      </c>
      <c r="E90" s="332">
        <f>IF(OR(E18="A",E18="C"),ROUND(MAX(E89*{5;10;15;20;25;30;35}%-{0;0.25;0.75;1.65;3.25;5.85;9.85}*1000000,0),0),IF(E18="B",IF(E89&lt;2000000,0,ROUND(E89*10%,0)),ROUND(E89*20%,0)))</f>
        <v>998136</v>
      </c>
      <c r="F90" s="332">
        <f>IF(OR(F18="A",F18="C"),ROUND(MAX(F89*{5;10;15;20;25;30;35}%-{0;0.25;0.75;1.65;3.25;5.85;9.85}*1000000,0),0),IF(F18="B",IF(F89&lt;2000000,0,ROUND(F89*10%,0)),ROUND(F89*20%,0)))</f>
        <v>1467945</v>
      </c>
      <c r="G90" s="332">
        <f>IF(OR(G18="A",G18="C"),ROUND(MAX(G89*{5;10;15;20;25;30;35}%-{0;0.25;0.75;1.65;3.25;5.85;9.85}*1000000,0),0),IF(G18="B",IF(G89&lt;2000000,0,ROUND(G89*10%,0)),ROUND(G89*20%,0)))</f>
        <v>6102500</v>
      </c>
      <c r="H90" s="332">
        <f>IF(OR(H18="A",H18="C"),ROUND(MAX(H89*{5;10;15;20;25;30;35}%-{0;0.25;0.75;1.65;3.25;5.85;9.85}*1000000,0),0),IF(H18="B",IF(H89&lt;2000000,0,ROUND(H89*10%,0)),ROUND(H89*20%,0)))</f>
        <v>30786611</v>
      </c>
      <c r="I90" s="332">
        <f>IF(OR(I18="A",I18="C"),ROUND(MAX(I89*{5;10;15;20;25;30;35}%-{0;0.25;0.75;1.65;3.25;5.85;9.85}*1000000,0),0),IF(I18="B",IF(I89&lt;2000000,0,ROUND(I89*10%,0)),ROUND(I89*20%,0)))</f>
        <v>17171700</v>
      </c>
      <c r="J90" s="332">
        <f>IF(OR(J18="A",J18="C"),ROUND(MAX(J89*{5;10;15;20;25;30;35}%-{0;0.25;0.75;1.65;3.25;5.85;9.85}*1000000,0),0),IF(J18="B",IF(J89&lt;2000000,0,ROUND(J89*10%,0)),ROUND(J89*20%,0)))</f>
        <v>9043750</v>
      </c>
      <c r="K90" s="332">
        <f>IF(OR(K18="A",K18="C"),ROUND(MAX(K89*{5;10;15;20;25;30;35}%-{0;0.25;0.75;1.65;3.25;5.85;9.85}*1000000,0),0),IF(K18="B",IF(K89&lt;2000000,0,ROUND(K89*10%,0)),ROUND(K89*20%,0)))</f>
        <v>70000</v>
      </c>
      <c r="L90" s="332">
        <f>IF(OR(L18="A",L18="C"),ROUND(MAX(L89*{5;10;15;20;25;30;35}%-{0;0.25;0.75;1.65;3.25;5.85;9.85}*1000000,0),0),IF(L18="B",IF(L89&lt;2000000,0,ROUND(L89*10%,0)),ROUND(L89*20%,0)))</f>
        <v>15816600</v>
      </c>
      <c r="M90" s="332">
        <f>IF(OR(M18="A",M18="C"),ROUND(MAX(M89*{5;10;15;20;25;30;35}%-{0;0.25;0.75;1.65;3.25;5.85;9.85}*1000000,0),0),IF(M18="B",IF(M89&lt;2000000,0,ROUND(M89*10%,0)),ROUND(M89*20%,0)))</f>
        <v>0</v>
      </c>
      <c r="N90" s="332">
        <f>IF(OR(N18="A",N18="C"),ROUND(MAX(N89*{5;10;15;20;25;30;35}%-{0;0.25;0.75;1.65;3.25;5.85;9.85}*1000000,0),0),IF(N18="B",IF(N89&lt;2000000,0,ROUND(N89*10%,0)),ROUND(N89*20%,0)))</f>
        <v>0</v>
      </c>
      <c r="O90" s="400">
        <f>IF(OR(O18="A",O18="C"),ROUND(MAX(O89*{5;10;15;20;25;30;35}%-{0;0.25;0.75;1.65;3.25;5.85;9.85}*1000000,0),0),IF(O18="B",IF(O89&lt;2000000,0,ROUND(O89*10%,0)),ROUND(O89*20%,0)))</f>
        <v>600000</v>
      </c>
      <c r="P90" s="346">
        <f t="shared" si="34"/>
        <v>82057242</v>
      </c>
      <c r="Q90" s="347"/>
      <c r="R90" s="347"/>
      <c r="S90" s="347"/>
      <c r="T90" s="347"/>
      <c r="U90" s="347"/>
    </row>
    <row r="91" spans="1:21">
      <c r="A91" s="445" t="s">
        <v>921</v>
      </c>
      <c r="B91" s="332">
        <f>B86+'UAT4-Apr'!B102</f>
        <v>60081819</v>
      </c>
      <c r="C91" s="332">
        <f>C86+'UAT4-Apr'!C102</f>
        <v>57633887</v>
      </c>
      <c r="D91" s="332">
        <f>D86+'UAT4-Apr'!D102</f>
        <v>55267499</v>
      </c>
      <c r="E91" s="332">
        <f>E86+'UAT4-Apr'!E102</f>
        <v>133542010</v>
      </c>
      <c r="F91" s="332">
        <f>F86+'UAT4-Apr'!F102</f>
        <v>89618938</v>
      </c>
      <c r="G91" s="332">
        <f>G86+'UAT4-Apr'!G102</f>
        <v>290062500</v>
      </c>
      <c r="H91" s="332">
        <f>H86+'UAT4-Apr'!H102</f>
        <v>813801013</v>
      </c>
      <c r="I91" s="332">
        <f>I86+'UAT4-Apr'!I102</f>
        <v>545813565.86210001</v>
      </c>
      <c r="J91" s="332">
        <f>J86+'UAT4-Apr'!J102</f>
        <v>264225262</v>
      </c>
      <c r="K91" s="332">
        <f>K86+'UAT4-Apr'!K102</f>
        <v>52000000</v>
      </c>
      <c r="L91" s="332">
        <f>L86+'UAT4-Apr'!L102</f>
        <v>439189000</v>
      </c>
      <c r="M91" s="332">
        <f>M86+'UAT4-Apr'!M102</f>
        <v>37500000</v>
      </c>
      <c r="N91" s="332">
        <f>N86+'UAT4-Apr'!N102</f>
        <v>45000000</v>
      </c>
      <c r="O91" s="400">
        <f>O86+'UAT4-Apr'!O102</f>
        <v>20000000</v>
      </c>
      <c r="P91" s="346">
        <f t="shared" si="34"/>
        <v>2903735493.8621001</v>
      </c>
      <c r="Q91" s="347"/>
      <c r="R91" s="347"/>
      <c r="S91" s="347"/>
      <c r="T91" s="347"/>
      <c r="U91" s="347"/>
    </row>
    <row r="92" spans="1:21">
      <c r="A92" s="445" t="s">
        <v>488</v>
      </c>
      <c r="B92" s="332">
        <f>B90+'UAT4-Apr'!B103</f>
        <v>359065</v>
      </c>
      <c r="C92" s="332">
        <f>C90+'UAT4-Apr'!C103</f>
        <v>0</v>
      </c>
      <c r="D92" s="332">
        <f>D90+'UAT4-Apr'!D103</f>
        <v>161125</v>
      </c>
      <c r="E92" s="332">
        <f>E90+'UAT4-Apr'!E103</f>
        <v>13448702</v>
      </c>
      <c r="F92" s="332">
        <f>F90+'UAT4-Apr'!F103</f>
        <v>8961893</v>
      </c>
      <c r="G92" s="332">
        <f>G90+'UAT4-Apr'!G103</f>
        <v>60968125</v>
      </c>
      <c r="H92" s="332">
        <f>H90+'UAT4-Apr'!H103</f>
        <v>162843603</v>
      </c>
      <c r="I92" s="332">
        <f>I90+'UAT4-Apr'!I103</f>
        <v>109246113</v>
      </c>
      <c r="J92" s="332">
        <f>J90+'UAT4-Apr'!J103</f>
        <v>43161329</v>
      </c>
      <c r="K92" s="332">
        <f>K90+'UAT4-Apr'!K103</f>
        <v>350000</v>
      </c>
      <c r="L92" s="332">
        <f>L90+'UAT4-Apr'!L103</f>
        <v>85330200</v>
      </c>
      <c r="M92" s="332">
        <f>M90+'UAT4-Apr'!M103</f>
        <v>0</v>
      </c>
      <c r="N92" s="332">
        <f>N90+'UAT4-Apr'!N103</f>
        <v>0</v>
      </c>
      <c r="O92" s="400">
        <f>O90+'UAT4-Apr'!O103</f>
        <v>2000000</v>
      </c>
      <c r="P92" s="346">
        <f t="shared" si="34"/>
        <v>486830155</v>
      </c>
      <c r="Q92" s="347"/>
      <c r="R92" s="347"/>
      <c r="S92" s="347"/>
      <c r="T92" s="347"/>
      <c r="U92" s="347"/>
    </row>
    <row r="93" spans="1:21">
      <c r="A93" s="445" t="s">
        <v>489</v>
      </c>
      <c r="B93" s="332">
        <f>B87+'UAT4-Apr'!B104</f>
        <v>4147500</v>
      </c>
      <c r="C93" s="332">
        <f>C87+'UAT4-Apr'!C104</f>
        <v>3806250</v>
      </c>
      <c r="D93" s="332">
        <f>D87+'UAT4-Apr'!D104</f>
        <v>1237500</v>
      </c>
      <c r="E93" s="332">
        <f>E87+'UAT4-Apr'!E104</f>
        <v>4725000</v>
      </c>
      <c r="F93" s="332">
        <f>F87+'UAT4-Apr'!F104</f>
        <v>0</v>
      </c>
      <c r="G93" s="332">
        <f>G87+'UAT4-Apr'!G104</f>
        <v>0</v>
      </c>
      <c r="H93" s="332">
        <f>H87+'UAT4-Apr'!H104</f>
        <v>2982000</v>
      </c>
      <c r="I93" s="332">
        <f>I87+'UAT4-Apr'!I104</f>
        <v>2565000</v>
      </c>
      <c r="J93" s="332">
        <f>J87+'UAT4-Apr'!J104</f>
        <v>17078000</v>
      </c>
      <c r="K93" s="332">
        <f>K87+'UAT4-Apr'!K104</f>
        <v>0</v>
      </c>
      <c r="L93" s="332">
        <f>L87+'UAT4-Apr'!L104</f>
        <v>23066000</v>
      </c>
      <c r="M93" s="332">
        <f>M87+'UAT4-Apr'!M104</f>
        <v>0</v>
      </c>
      <c r="N93" s="332">
        <f>N87+'UAT4-Apr'!N104</f>
        <v>0</v>
      </c>
      <c r="O93" s="400">
        <f>O87+'UAT4-Apr'!O104</f>
        <v>0</v>
      </c>
      <c r="P93" s="346">
        <f t="shared" si="34"/>
        <v>59607250</v>
      </c>
      <c r="Q93" s="347"/>
      <c r="R93" s="347"/>
      <c r="S93" s="347"/>
      <c r="T93" s="347"/>
      <c r="U93" s="347"/>
    </row>
    <row r="94" spans="1:21">
      <c r="A94" s="412"/>
      <c r="B94" s="14"/>
      <c r="C94" s="7"/>
      <c r="D94" s="7"/>
      <c r="E94" s="322"/>
      <c r="F94" s="7"/>
      <c r="G94" s="7"/>
      <c r="H94" s="7"/>
      <c r="I94" s="7"/>
      <c r="J94" s="7"/>
      <c r="K94" s="322"/>
      <c r="L94" s="322"/>
      <c r="M94" s="322"/>
      <c r="N94" s="322"/>
      <c r="O94" s="381"/>
      <c r="P94" s="346"/>
      <c r="Q94" s="347"/>
      <c r="R94" s="347"/>
      <c r="S94" s="347"/>
      <c r="T94" s="347"/>
      <c r="U94" s="347"/>
    </row>
    <row r="95" spans="1:21" ht="15.6">
      <c r="A95" s="411" t="s">
        <v>825</v>
      </c>
      <c r="B95" s="14"/>
      <c r="C95" s="7"/>
      <c r="D95" s="7"/>
      <c r="E95" s="322"/>
      <c r="F95" s="7"/>
      <c r="G95" s="7"/>
      <c r="H95" s="7"/>
      <c r="I95" s="7"/>
      <c r="J95" s="7"/>
      <c r="K95" s="322"/>
      <c r="L95" s="322"/>
      <c r="M95" s="322"/>
      <c r="N95" s="322"/>
      <c r="O95" s="381"/>
      <c r="P95" s="346"/>
      <c r="Q95" s="347"/>
      <c r="R95" s="347"/>
      <c r="S95" s="347"/>
      <c r="T95" s="347"/>
      <c r="U95" s="347"/>
    </row>
    <row r="96" spans="1:21">
      <c r="A96" s="445" t="s">
        <v>432</v>
      </c>
      <c r="B96" s="549">
        <v>160</v>
      </c>
      <c r="C96" s="549">
        <v>144</v>
      </c>
      <c r="D96" s="549">
        <v>66</v>
      </c>
      <c r="E96" s="549">
        <v>160</v>
      </c>
      <c r="F96" s="549">
        <v>128</v>
      </c>
      <c r="G96" s="549">
        <v>0</v>
      </c>
      <c r="H96" s="549">
        <v>153</v>
      </c>
      <c r="I96" s="549">
        <v>0</v>
      </c>
      <c r="J96" s="549">
        <v>89</v>
      </c>
      <c r="K96" s="549">
        <v>160</v>
      </c>
      <c r="L96" s="549">
        <v>160</v>
      </c>
      <c r="M96" s="549">
        <v>160</v>
      </c>
      <c r="N96" s="549">
        <v>160</v>
      </c>
      <c r="O96" s="655">
        <f>ROUND(160*(365-31-28-31-30)/365,0)</f>
        <v>107</v>
      </c>
      <c r="P96" s="478">
        <v>1540</v>
      </c>
      <c r="Q96" s="347"/>
      <c r="R96" s="347"/>
      <c r="S96" s="347"/>
      <c r="T96" s="347"/>
      <c r="U96" s="347"/>
    </row>
    <row r="97" spans="1:21">
      <c r="A97" s="445" t="s">
        <v>433</v>
      </c>
      <c r="B97" s="549">
        <v>80</v>
      </c>
      <c r="C97" s="549">
        <v>72</v>
      </c>
      <c r="D97" s="549">
        <v>33</v>
      </c>
      <c r="E97" s="549">
        <v>80</v>
      </c>
      <c r="F97" s="549">
        <v>64</v>
      </c>
      <c r="G97" s="549">
        <v>0</v>
      </c>
      <c r="H97" s="549">
        <v>76</v>
      </c>
      <c r="I97" s="549">
        <v>0</v>
      </c>
      <c r="J97" s="549">
        <v>44</v>
      </c>
      <c r="K97" s="549">
        <v>80</v>
      </c>
      <c r="L97" s="549">
        <v>80</v>
      </c>
      <c r="M97" s="549">
        <v>80</v>
      </c>
      <c r="N97" s="549">
        <v>80</v>
      </c>
      <c r="O97" s="655">
        <f>ROUND(80*(365-31-28-31-30)/365,0)</f>
        <v>54</v>
      </c>
      <c r="P97" s="478">
        <v>769</v>
      </c>
      <c r="Q97" s="347"/>
      <c r="R97" s="347"/>
      <c r="S97" s="347"/>
      <c r="T97" s="347"/>
      <c r="U97" s="347"/>
    </row>
    <row r="98" spans="1:21">
      <c r="A98" s="445" t="s">
        <v>434</v>
      </c>
      <c r="B98" s="549">
        <v>0</v>
      </c>
      <c r="C98" s="549">
        <v>24.21</v>
      </c>
      <c r="D98" s="549">
        <v>0</v>
      </c>
      <c r="E98" s="549">
        <v>0</v>
      </c>
      <c r="F98" s="549">
        <v>0</v>
      </c>
      <c r="G98" s="549">
        <v>0</v>
      </c>
      <c r="H98" s="549">
        <v>0</v>
      </c>
      <c r="I98" s="549">
        <v>0</v>
      </c>
      <c r="J98" s="549">
        <v>0</v>
      </c>
      <c r="K98" s="549">
        <v>0</v>
      </c>
      <c r="L98" s="549">
        <v>0</v>
      </c>
      <c r="M98" s="549">
        <v>0</v>
      </c>
      <c r="N98" s="549">
        <v>0</v>
      </c>
      <c r="O98" s="550">
        <v>0</v>
      </c>
      <c r="P98" s="478">
        <v>0</v>
      </c>
    </row>
    <row r="99" spans="1:21">
      <c r="A99" s="445" t="s">
        <v>435</v>
      </c>
      <c r="B99" s="549">
        <v>0</v>
      </c>
      <c r="C99" s="549">
        <v>0</v>
      </c>
      <c r="D99" s="549">
        <v>0</v>
      </c>
      <c r="E99" s="549">
        <v>0</v>
      </c>
      <c r="F99" s="549">
        <v>0</v>
      </c>
      <c r="G99" s="549">
        <v>0</v>
      </c>
      <c r="H99" s="549">
        <v>0</v>
      </c>
      <c r="I99" s="549">
        <v>0</v>
      </c>
      <c r="J99" s="549">
        <v>0</v>
      </c>
      <c r="K99" s="549">
        <v>0</v>
      </c>
      <c r="L99" s="549">
        <v>0</v>
      </c>
      <c r="M99" s="549">
        <v>0</v>
      </c>
      <c r="N99" s="549">
        <v>0</v>
      </c>
      <c r="O99" s="550">
        <v>0</v>
      </c>
      <c r="P99" s="478">
        <v>0</v>
      </c>
    </row>
    <row r="100" spans="1:21">
      <c r="A100" s="445" t="s">
        <v>436</v>
      </c>
      <c r="B100" s="549">
        <v>0</v>
      </c>
      <c r="C100" s="549">
        <v>0</v>
      </c>
      <c r="D100" s="549">
        <v>0</v>
      </c>
      <c r="E100" s="549">
        <v>0</v>
      </c>
      <c r="F100" s="549">
        <v>0</v>
      </c>
      <c r="G100" s="549">
        <v>0</v>
      </c>
      <c r="H100" s="549">
        <v>0</v>
      </c>
      <c r="I100" s="549">
        <v>0</v>
      </c>
      <c r="J100" s="549">
        <v>0</v>
      </c>
      <c r="K100" s="549">
        <v>0</v>
      </c>
      <c r="L100" s="549">
        <v>0</v>
      </c>
      <c r="M100" s="549">
        <v>0</v>
      </c>
      <c r="N100" s="549">
        <v>0</v>
      </c>
      <c r="O100" s="550">
        <v>0</v>
      </c>
      <c r="P100" s="478">
        <v>0</v>
      </c>
    </row>
    <row r="101" spans="1:21">
      <c r="A101" s="445"/>
      <c r="F101" s="5"/>
      <c r="G101" s="5"/>
      <c r="H101" s="5"/>
      <c r="I101" s="5"/>
      <c r="P101" s="347"/>
    </row>
    <row r="102" spans="1:21" ht="15.6">
      <c r="A102" s="411" t="s">
        <v>437</v>
      </c>
    </row>
    <row r="103" spans="1:21">
      <c r="A103" s="6" t="s">
        <v>863</v>
      </c>
      <c r="B103" s="551">
        <f>IF(OR(B11="S",B11="C"),0,IF(OR(B11="1",B11="3"),ROUND(20*8*B16/365,5),ROUND(20*'New Hire'!C24*B16/365,5)))+'UAT4-Apr'!B128</f>
        <v>66.191770000000005</v>
      </c>
      <c r="C103" s="551">
        <f>IF(OR(C11="S",C11="C"),0,IF(OR(C11="1",C11="3"),ROUND(20*8*C16/365,5),ROUND(20*'New Hire'!D24*C16/365,5)))+'UAT4-Apr'!C128</f>
        <v>29.78631</v>
      </c>
      <c r="D103" s="551">
        <f>IF(OR(D11="S",D11="C"),0,IF(OR(D11="1",D11="3"),ROUND(20*8*D16/365,5),ROUND(20*'New Hire'!E24*D16/365,5)))+'UAT4-Apr'!D128</f>
        <v>63.123280000000008</v>
      </c>
      <c r="E103" s="551">
        <f>IF(OR(E11="S",E11="C"),0,IF(OR(E11="1",E11="3"),ROUND(20*8*E16/365,5),ROUND(20*'New Hire'!F24*E16/365,5)))+'UAT4-Apr'!E128</f>
        <v>66.191770000000005</v>
      </c>
      <c r="F103" s="551">
        <f>IF(OR(F11="S",F11="C"),0,IF(OR(F11="1",F11="3"),ROUND(20*8*F16/365,5),ROUND(20*'New Hire'!G24*F16/365,5)))+'UAT4-Apr'!F128</f>
        <v>52.953419999999994</v>
      </c>
      <c r="G103" s="551">
        <f>IF(OR(G11="S",G11="C"),0,IF(OR(G11="1",G11="3"),ROUND(20*8*G16/365,5),ROUND(20*'New Hire'!H24*G16/365,5)))+'UAT4-Apr'!G128</f>
        <v>0</v>
      </c>
      <c r="H103" s="551">
        <f>IF(OR(H11="S",H11="C"),0,IF(OR(H11="1",H11="3"),ROUND(20*8*H16/365,5),ROUND(20*'New Hire'!I24*H16/365,5)))+'UAT4-Apr'!H128</f>
        <v>33.095890000000004</v>
      </c>
      <c r="I103" s="551">
        <f>IF(OR(I11="S",I11="C"),0,IF(OR(I11="1",I11="3"),ROUND(20*8*I16/365,5),ROUND(20*'New Hire'!J24*I16/365,5)))+'UAT4-Apr'!I128</f>
        <v>0</v>
      </c>
      <c r="J103" s="551">
        <f>IF(OR(J11="S",J11="C"),0,IF(OR(J11="1",J11="3"),ROUND(20*8*J16/365,5),ROUND(20*'New Hire'!K24*J16/365,5)))+'UAT4-Apr'!J128</f>
        <v>16.175339999999998</v>
      </c>
      <c r="K103" s="551">
        <f>IF(OR(K11="S",K11="C"),0,IF(OR(K11="1",K11="3"),ROUND(20*8*K16/365,5),ROUND(20*'New Hire'!L24*K16/365,5)))+'UAT4-Apr'!K128</f>
        <v>66.191770000000005</v>
      </c>
      <c r="L103" s="551">
        <f>IF(OR(L11="S",L11="C"),0,IF(OR(L11="1",L11="3"),ROUND(20*8*L16/365,5),ROUND(20*'New Hire'!M24*L16/365,5)))+'UAT4-Apr'!L128</f>
        <v>66.191770000000005</v>
      </c>
      <c r="M103" s="551">
        <f>IF(OR(M11="S",M11="C"),0,IF(OR(M11="1",M11="3"),ROUND(20*8*M16/365,5),ROUND(20*'New Hire'!N24*M16/365,5)))+'UAT4-Apr'!M128</f>
        <v>66.191770000000005</v>
      </c>
      <c r="N103" s="551">
        <f>IF(OR(N11="S",N11="C"),0,IF(OR(N11="1",N11="3"),ROUND(20*8*N16/365,5),ROUND(20*'New Hire'!O24*N16/365,5)))+'UAT4-Apr'!N128</f>
        <v>66.191770000000005</v>
      </c>
      <c r="O103" s="551">
        <f>IF(OR(O11="S",O11="C"),0,IF(OR(O11="1",O11="3"),ROUND(20*8*O16/365,5),ROUND(20*'New Hire'!P24*O16/365,5)))+'UAT4-Apr'!O128</f>
        <v>13.589040000000001</v>
      </c>
    </row>
    <row r="104" spans="1:21">
      <c r="A104" s="6" t="s">
        <v>864</v>
      </c>
      <c r="B104" s="552">
        <f>IF(OR(B11="S",B11="C"),0,IF(OR(B11="1",B11="3"),ROUND(10*8*B16/365,5),ROUND(10*'New Hire'!C24*B16/365,5)))+'UAT4-Apr'!B129</f>
        <v>33.095890000000004</v>
      </c>
      <c r="C104" s="552">
        <f>IF(OR(C11="S",C11="C"),0,IF(OR(C11="1",C11="3"),ROUND(10*8*C16/365,5),ROUND(10*'New Hire'!D24*C16/365,5)))+'UAT4-Apr'!C129</f>
        <v>14.893129999999999</v>
      </c>
      <c r="D104" s="552">
        <f>IF(OR(D11="S",D11="C"),0,IF(OR(D11="1",D11="3"),ROUND(10*8*D16/365,5),ROUND(10*'New Hire'!E24*D16/365,5)))+'UAT4-Apr'!D129</f>
        <v>31.561640000000004</v>
      </c>
      <c r="E104" s="552">
        <f>IF(OR(E11="S",E11="C"),0,IF(OR(E11="1",E11="3"),ROUND(10*8*E16/365,5),ROUND(10*'New Hire'!F24*E16/365,5)))+'UAT4-Apr'!E129</f>
        <v>33.095890000000004</v>
      </c>
      <c r="F104" s="552">
        <f>IF(OR(F11="S",F11="C"),0,IF(OR(F11="1",F11="3"),ROUND(10*8*F16/365,5),ROUND(10*'New Hire'!G24*F16/365,5)))+'UAT4-Apr'!F129</f>
        <v>26.47672</v>
      </c>
      <c r="G104" s="552">
        <f>IF(OR(G11="S",G11="C"),0,IF(OR(G11="1",G11="3"),ROUND(10*8*G16/365,5),ROUND(10*'New Hire'!H24*G16/365,5)))+'UAT4-Apr'!G129</f>
        <v>0</v>
      </c>
      <c r="H104" s="552">
        <f>IF(OR(H11="S",H11="C"),0,IF(OR(H11="1",H11="3"),ROUND(10*8*H16/365,5),ROUND(10*'New Hire'!I24*H16/365,5)))+'UAT4-Apr'!H129</f>
        <v>16.547940000000001</v>
      </c>
      <c r="I104" s="552">
        <f>IF(OR(I11="S",I11="C"),0,IF(OR(I11="1",I11="3"),ROUND(10*8*I16/365,5),ROUND(10*'New Hire'!J24*I16/365,5)))+'UAT4-Apr'!I129</f>
        <v>0</v>
      </c>
      <c r="J104" s="552">
        <f>IF(OR(J11="S",J11="C"),0,IF(OR(J11="1",J11="3"),ROUND(10*8*J16/365,5),ROUND(10*'New Hire'!K24*J16/365,5)))+'UAT4-Apr'!J129</f>
        <v>8.0876799999999989</v>
      </c>
      <c r="K104" s="552">
        <f>IF(OR(K11="S",K11="C"),0,IF(OR(K11="1",K11="3"),ROUND(10*8*K16/365,5),ROUND(10*'New Hire'!L24*K16/365,5)))+'UAT4-Apr'!K129</f>
        <v>33.095890000000004</v>
      </c>
      <c r="L104" s="552">
        <f>IF(OR(L11="S",L11="C"),0,IF(OR(L11="1",L11="3"),ROUND(10*8*L16/365,5),ROUND(10*'New Hire'!M24*L16/365,5)))+'UAT4-Apr'!L129</f>
        <v>33.095890000000004</v>
      </c>
      <c r="M104" s="552">
        <f>IF(OR(M11="S",M11="C"),0,IF(OR(M11="1",M11="3"),ROUND(10*8*M16/365,5),ROUND(10*'New Hire'!N24*M16/365,5)))+'UAT4-Apr'!M129</f>
        <v>33.095890000000004</v>
      </c>
      <c r="N104" s="552">
        <f>IF(OR(N11="S",N11="C"),0,IF(OR(N11="1",N11="3"),ROUND(10*8*N16/365,5),ROUND(10*'New Hire'!O24*N16/365,5)))+'UAT4-Apr'!N129</f>
        <v>33.095890000000004</v>
      </c>
      <c r="O104" s="552">
        <f>IF(OR(O11="S",O11="C"),0,IF(OR(O11="1",O11="3"),ROUND(10*8*O16/365,5),ROUND(10*'New Hire'!P24*O16/365,5)))+'UAT4-Apr'!O129</f>
        <v>6.7945200000000003</v>
      </c>
    </row>
    <row r="105" spans="1:21">
      <c r="A105" s="445" t="s">
        <v>829</v>
      </c>
      <c r="B105" s="551">
        <f>IF('New Hire'!C78=1,ROUND(25/10*B13%/365,5)*B16,0)+'UAT4-Apr'!B130</f>
        <v>0</v>
      </c>
      <c r="C105" s="551">
        <f>IF('New Hire'!D78=1,ROUND(25/10*C13%/365,5)*C16,0)+'UAT4-Apr'!C130</f>
        <v>0</v>
      </c>
      <c r="D105" s="551">
        <f>IF('New Hire'!E78=1,ROUND(25/10*D13%/365,5)*D16,0)+'UAT4-Apr'!D130</f>
        <v>0</v>
      </c>
      <c r="E105" s="551">
        <f>IF('New Hire'!F78=1,ROUND(25/10*E13%/365,5)*E16,0)+'UAT4-Apr'!E130</f>
        <v>0</v>
      </c>
      <c r="F105" s="551">
        <f>IF('New Hire'!G78=1,ROUND(25/10*F13%/365,5)*F16,0)+'UAT4-Apr'!F130</f>
        <v>1.0343500000000001</v>
      </c>
      <c r="G105" s="551">
        <f>IF('New Hire'!H78=1,ROUND(25/10*G13%/365,5)*G16,0)+'UAT4-Apr'!G130</f>
        <v>0</v>
      </c>
      <c r="H105" s="551">
        <f>IF('New Hire'!I78=1,ROUND(25/10*H13%/365,5)*H16,0)+'UAT4-Apr'!H130</f>
        <v>0</v>
      </c>
      <c r="I105" s="551">
        <f>IF('New Hire'!J78=1,ROUND(25/10*I13%/365,5)*I16,0)+'UAT4-Apr'!I130</f>
        <v>0</v>
      </c>
      <c r="J105" s="551">
        <f>IF('New Hire'!K78=1,ROUND(25/10*J13%/365,5)*J16,0)+'UAT4-Apr'!J130</f>
        <v>0</v>
      </c>
      <c r="K105" s="551">
        <f>IF('New Hire'!L78=1,ROUND(25/10*K13%/365,5)*K16,0)+'UAT4-Apr'!K130</f>
        <v>0</v>
      </c>
      <c r="L105" s="551">
        <f>IF('New Hire'!M78=1,ROUND(25/10*L13%/365,5)*L16,0)+'UAT4-Apr'!L130</f>
        <v>0</v>
      </c>
      <c r="M105" s="551">
        <f>IF('New Hire'!N78=1,ROUND(25/10*M13%/365,5)*M16,0)+'UAT4-Apr'!M130</f>
        <v>0</v>
      </c>
      <c r="N105" s="551">
        <f>IF('New Hire'!O78=1,ROUND(25/10*N13%/365,5)*N16,0)+'UAT4-Apr'!N130</f>
        <v>0</v>
      </c>
      <c r="O105" s="551">
        <f>IF('New Hire'!P78=1,ROUND(25/10*O13%/365,5)*O16,0)+'UAT4-Apr'!O130</f>
        <v>0</v>
      </c>
    </row>
    <row r="106" spans="1:21">
      <c r="A106" s="445" t="s">
        <v>830</v>
      </c>
      <c r="B106" s="549">
        <f>IF(B11="C",0,IF('New Hire'!C78=1,0,ROUND(5/5*B13%/365,5)*B16)+'UAT4-Apr'!B131)</f>
        <v>0.41374</v>
      </c>
      <c r="C106" s="549">
        <f>IF(C11="C",0,IF('New Hire'!D78=1,0,ROUND(5/5*C13%/365,5)*C16)+'UAT4-Apr'!C131)</f>
        <v>0.20687</v>
      </c>
      <c r="D106" s="549">
        <f>IF(D11="C",0,IF('New Hire'!E78=1,0,ROUND(5/5*D13%/365,5)*D16)+'UAT4-Apr'!D131)</f>
        <v>0.39456000000000002</v>
      </c>
      <c r="E106" s="549">
        <f>IF(E11="C",0,IF('New Hire'!F78=1,0,ROUND(5/5*E13%/365,5)*E16)+'UAT4-Apr'!E131)</f>
        <v>0.41374</v>
      </c>
      <c r="F106" s="549">
        <f>IF(F11="C",0,IF('New Hire'!G78=1,0,ROUND(5/5*F13%/365,5)*F16)+'UAT4-Apr'!F131)</f>
        <v>0</v>
      </c>
      <c r="G106" s="549">
        <f>IF(G11="C",0,IF('New Hire'!H78=1,0,ROUND(5/5*G13%/365,5)*G16)+'UAT4-Apr'!G131)</f>
        <v>0</v>
      </c>
      <c r="H106" s="549">
        <f>IF(H11="C",0,IF('New Hire'!I78=1,0,ROUND(5/5*H13%/365,5)*H16)+'UAT4-Apr'!H131)</f>
        <v>0.20687</v>
      </c>
      <c r="I106" s="549">
        <f>IF(I11="C",0,IF('New Hire'!J78=1,0,ROUND(5/5*I13%/365,5)*I16)+'UAT4-Apr'!I131)</f>
        <v>0.36715999999999993</v>
      </c>
      <c r="J106" s="549">
        <f>IF(J11="C",0,IF('New Hire'!K78=1,0,ROUND(5/5*J13%/365,5)*J16)+'UAT4-Apr'!J131)</f>
        <v>0.16850999999999999</v>
      </c>
      <c r="K106" s="549">
        <f>IF(K11="C",0,IF('New Hire'!L78=1,0,ROUND(5/5*K13%/365,5)*K16)+'UAT4-Apr'!K131)</f>
        <v>0.41374</v>
      </c>
      <c r="L106" s="549">
        <f>IF(L11="C",0,IF('New Hire'!M78=1,0,ROUND(5/5*L13%/365,5)*L16)+'UAT4-Apr'!L131)</f>
        <v>0.41374</v>
      </c>
      <c r="M106" s="549">
        <f>IF(M11="C",0,IF('New Hire'!N78=1,0,ROUND(5/5*M13%/365,5)*M16)+'UAT4-Apr'!M131)</f>
        <v>0.41374</v>
      </c>
      <c r="N106" s="549">
        <f>IF(N11="C",0,IF('New Hire'!O78=1,0,ROUND(5/5*N13%/365,5)*N16)+'UAT4-Apr'!N131)</f>
        <v>0.41374</v>
      </c>
      <c r="O106" s="549">
        <f>IF(O11="C",0,IF('New Hire'!P78=1,0,ROUND(5/5*O13%/365,5)*O16)+'UAT4-Apr'!O131)</f>
        <v>8.4939999999999988E-2</v>
      </c>
    </row>
    <row r="107" spans="1:21">
      <c r="A107" s="445"/>
      <c r="B107" s="549"/>
      <c r="C107" s="549"/>
      <c r="D107" s="549"/>
      <c r="E107" s="549"/>
      <c r="F107" s="549"/>
      <c r="G107" s="549"/>
      <c r="H107" s="549"/>
      <c r="I107" s="549"/>
      <c r="J107" s="549"/>
      <c r="K107" s="549"/>
      <c r="L107" s="549"/>
      <c r="M107" s="549"/>
      <c r="N107" s="549"/>
      <c r="O107" s="549"/>
    </row>
    <row r="108" spans="1:21" ht="15.6">
      <c r="A108" s="411" t="s">
        <v>629</v>
      </c>
    </row>
    <row r="109" spans="1:21">
      <c r="A109" s="445" t="s">
        <v>479</v>
      </c>
      <c r="B109" s="452">
        <f>'New Hire'!C32</f>
        <v>5000000</v>
      </c>
      <c r="C109" s="452">
        <f>'New Hire'!D32</f>
        <v>4500000</v>
      </c>
      <c r="D109" s="452">
        <f>'New Hire'!E32</f>
        <v>7000000</v>
      </c>
      <c r="E109" s="452">
        <f>'New Hire'!F32</f>
        <v>9000000</v>
      </c>
      <c r="F109" s="452">
        <f>'New Hire'!G32</f>
        <v>14000000</v>
      </c>
      <c r="H109" s="452">
        <f>'New Hire'!I32</f>
        <v>5000</v>
      </c>
      <c r="I109" s="452">
        <f>'New Hire'!J32</f>
        <v>4000</v>
      </c>
      <c r="J109" s="452">
        <f>'New Hire'!K32</f>
        <v>50000000</v>
      </c>
      <c r="K109" s="452">
        <f>'New Hire'!L32</f>
        <v>8000000</v>
      </c>
      <c r="L109" s="452">
        <f>'New Hire'!M32</f>
        <v>90000000</v>
      </c>
      <c r="M109" s="452">
        <f>'New Hire'!N32</f>
        <v>5000000</v>
      </c>
      <c r="N109" s="452">
        <f>'New Hire'!O32</f>
        <v>6500000</v>
      </c>
      <c r="O109" s="452">
        <v>6000000</v>
      </c>
    </row>
    <row r="110" spans="1:21">
      <c r="A110" s="445" t="s">
        <v>776</v>
      </c>
      <c r="B110" s="452"/>
      <c r="C110" s="452"/>
      <c r="D110" s="452"/>
      <c r="E110" s="452"/>
      <c r="F110" s="452"/>
      <c r="G110" s="452">
        <f>'New Hire'!H32</f>
        <v>200</v>
      </c>
      <c r="H110" s="452"/>
      <c r="I110" s="452"/>
      <c r="J110" s="452"/>
      <c r="K110" s="452"/>
      <c r="L110" s="452"/>
      <c r="M110" s="452"/>
      <c r="N110" s="452"/>
      <c r="O110" s="452"/>
    </row>
    <row r="111" spans="1:21">
      <c r="A111" s="451" t="s">
        <v>496</v>
      </c>
      <c r="B111" s="452">
        <f>'New Hire'!C34</f>
        <v>500000</v>
      </c>
      <c r="C111" s="452">
        <f>'New Hire'!D34</f>
        <v>450000</v>
      </c>
      <c r="D111" s="452">
        <f>'New Hire'!E34</f>
        <v>700000</v>
      </c>
      <c r="E111" s="452">
        <f>'New Hire'!F34</f>
        <v>0</v>
      </c>
      <c r="F111" s="452">
        <f>'New Hire'!G34</f>
        <v>0</v>
      </c>
      <c r="G111" s="452">
        <f>'New Hire'!H34</f>
        <v>0</v>
      </c>
      <c r="H111" s="452">
        <f>'New Hire'!I34</f>
        <v>500</v>
      </c>
      <c r="I111" s="452">
        <f>'New Hire'!J34</f>
        <v>0</v>
      </c>
      <c r="J111" s="452">
        <f>'New Hire'!K34</f>
        <v>5000000</v>
      </c>
      <c r="K111" s="452">
        <f>'New Hire'!L34</f>
        <v>800000</v>
      </c>
      <c r="L111" s="452">
        <f>'New Hire'!M34</f>
        <v>0</v>
      </c>
      <c r="M111" s="452">
        <f>'New Hire'!N34</f>
        <v>1000000</v>
      </c>
      <c r="N111" s="452">
        <f>'New Hire'!O34</f>
        <v>1000000</v>
      </c>
      <c r="O111" s="452">
        <f>'New Hire'!P34</f>
        <v>0</v>
      </c>
    </row>
    <row r="112" spans="1:21">
      <c r="A112" s="415" t="s">
        <v>569</v>
      </c>
      <c r="B112" s="452">
        <f>'New Hire'!C36</f>
        <v>1000000</v>
      </c>
      <c r="C112" s="452">
        <f>'New Hire'!D36</f>
        <v>900000</v>
      </c>
      <c r="D112" s="452">
        <f>'New Hire'!E36</f>
        <v>1400000</v>
      </c>
      <c r="E112" s="452">
        <f>'New Hire'!F36</f>
        <v>0</v>
      </c>
      <c r="F112" s="452">
        <f>'New Hire'!G36</f>
        <v>0</v>
      </c>
      <c r="G112" s="452">
        <f>'New Hire'!H36</f>
        <v>0</v>
      </c>
      <c r="H112" s="452">
        <f>'New Hire'!I36</f>
        <v>1000</v>
      </c>
      <c r="I112" s="452">
        <f>'New Hire'!J36</f>
        <v>0</v>
      </c>
      <c r="J112" s="452">
        <f>'New Hire'!K36</f>
        <v>10000000</v>
      </c>
      <c r="K112" s="452">
        <f>'New Hire'!L36</f>
        <v>1600000</v>
      </c>
      <c r="L112" s="452">
        <f>'New Hire'!M36</f>
        <v>0</v>
      </c>
      <c r="M112" s="452">
        <f>'New Hire'!N36</f>
        <v>1500000</v>
      </c>
      <c r="N112" s="452">
        <f>'New Hire'!O36</f>
        <v>1500000</v>
      </c>
      <c r="O112" s="452">
        <f>'New Hire'!P36</f>
        <v>0</v>
      </c>
    </row>
    <row r="113" spans="1:15">
      <c r="A113" s="423" t="s">
        <v>495</v>
      </c>
      <c r="B113" s="452"/>
      <c r="C113" s="452"/>
      <c r="D113" s="452"/>
      <c r="E113" s="452"/>
      <c r="F113" s="452"/>
      <c r="G113" s="453"/>
      <c r="H113" s="453"/>
      <c r="I113" s="453"/>
      <c r="J113" s="453"/>
      <c r="K113" s="453"/>
      <c r="L113" s="453"/>
      <c r="M113" s="453"/>
      <c r="N113" s="453"/>
      <c r="O113" s="453"/>
    </row>
    <row r="114" spans="1:15">
      <c r="A114" s="412" t="s">
        <v>530</v>
      </c>
      <c r="B114" s="452"/>
      <c r="C114" s="452"/>
      <c r="D114" s="452"/>
      <c r="E114" s="452"/>
      <c r="F114" s="455"/>
      <c r="G114" s="455"/>
      <c r="H114" s="455"/>
      <c r="I114" s="455"/>
      <c r="J114" s="455"/>
      <c r="K114" s="455"/>
      <c r="L114" s="455"/>
      <c r="M114" s="455"/>
      <c r="N114" s="455"/>
      <c r="O114" s="455"/>
    </row>
    <row r="115" spans="1:15">
      <c r="A115" s="423" t="s">
        <v>598</v>
      </c>
      <c r="B115" s="332"/>
      <c r="C115" s="332"/>
      <c r="D115" s="332"/>
      <c r="E115" s="332"/>
      <c r="F115" s="332"/>
      <c r="G115" s="340"/>
      <c r="H115" s="332"/>
      <c r="I115" s="332"/>
      <c r="J115" s="455"/>
      <c r="K115" s="455"/>
      <c r="L115" s="455"/>
      <c r="M115" s="455"/>
      <c r="N115" s="455"/>
      <c r="O115" s="455"/>
    </row>
    <row r="116" spans="1:15">
      <c r="A116" s="415" t="s">
        <v>493</v>
      </c>
      <c r="B116" s="452"/>
      <c r="C116" s="332"/>
      <c r="D116" s="332"/>
      <c r="E116" s="456"/>
      <c r="F116" s="340"/>
      <c r="G116" s="340"/>
      <c r="H116" s="332"/>
      <c r="I116" s="332"/>
      <c r="J116" s="455"/>
      <c r="K116" s="332"/>
      <c r="L116" s="455"/>
      <c r="M116" s="455"/>
      <c r="N116" s="455"/>
      <c r="O116" s="455"/>
    </row>
    <row r="117" spans="1:15">
      <c r="A117" s="415" t="s">
        <v>499</v>
      </c>
      <c r="B117" s="452"/>
      <c r="C117" s="452"/>
      <c r="D117" s="452"/>
      <c r="E117" s="456"/>
      <c r="F117" s="340"/>
      <c r="G117" s="340"/>
      <c r="H117" s="332"/>
      <c r="I117" s="332"/>
      <c r="J117" s="455"/>
      <c r="K117" s="455"/>
      <c r="L117" s="455"/>
      <c r="M117" s="455"/>
      <c r="N117" s="455"/>
      <c r="O117" s="455"/>
    </row>
    <row r="118" spans="1:15">
      <c r="A118" s="6" t="s">
        <v>630</v>
      </c>
      <c r="B118" s="452"/>
      <c r="C118" s="452"/>
      <c r="D118" s="452"/>
      <c r="E118" s="456"/>
      <c r="F118" s="340"/>
      <c r="G118" s="340"/>
      <c r="H118" s="332"/>
      <c r="I118" s="332"/>
      <c r="J118" s="455"/>
      <c r="K118" s="455"/>
      <c r="L118" s="455"/>
      <c r="M118" s="455"/>
      <c r="N118" s="455"/>
      <c r="O118" s="455"/>
    </row>
    <row r="119" spans="1:15">
      <c r="A119" s="6" t="s">
        <v>631</v>
      </c>
      <c r="B119" s="452"/>
      <c r="C119" s="452"/>
      <c r="D119" s="452"/>
      <c r="E119" s="456"/>
      <c r="F119" s="340"/>
      <c r="G119" s="340"/>
      <c r="H119" s="332"/>
      <c r="I119" s="332"/>
      <c r="J119" s="455"/>
      <c r="K119" s="455"/>
      <c r="L119" s="455"/>
      <c r="M119" s="455"/>
      <c r="N119" s="455"/>
      <c r="O119" s="455"/>
    </row>
    <row r="120" spans="1:15">
      <c r="A120" s="6" t="s">
        <v>632</v>
      </c>
      <c r="B120" s="452"/>
      <c r="C120" s="452"/>
      <c r="D120" s="452"/>
      <c r="E120" s="452"/>
      <c r="F120" s="455"/>
      <c r="G120" s="456"/>
      <c r="H120" s="340"/>
      <c r="I120" s="340"/>
      <c r="J120" s="332"/>
      <c r="K120" s="332"/>
      <c r="L120" s="340"/>
      <c r="M120" s="455"/>
      <c r="N120" s="455"/>
      <c r="O120" s="455"/>
    </row>
    <row r="121" spans="1:15">
      <c r="A121" s="412" t="s">
        <v>613</v>
      </c>
      <c r="B121" s="452"/>
      <c r="C121" s="452"/>
      <c r="D121" s="452"/>
      <c r="E121" s="452"/>
      <c r="F121" s="455"/>
      <c r="G121" s="456"/>
      <c r="H121" s="340">
        <v>100</v>
      </c>
      <c r="I121" s="340">
        <v>100</v>
      </c>
      <c r="J121" s="332"/>
      <c r="K121" s="455"/>
      <c r="L121" s="340"/>
      <c r="M121" s="455"/>
      <c r="N121" s="455"/>
      <c r="O121" s="455"/>
    </row>
    <row r="122" spans="1:15">
      <c r="A122" s="412" t="s">
        <v>614</v>
      </c>
      <c r="B122" s="452"/>
      <c r="C122" s="452"/>
      <c r="D122" s="452"/>
      <c r="E122" s="452"/>
      <c r="F122" s="455"/>
      <c r="G122" s="456"/>
      <c r="H122" s="340">
        <v>200</v>
      </c>
      <c r="I122" s="340">
        <v>200</v>
      </c>
      <c r="J122" s="332"/>
      <c r="K122" s="455"/>
      <c r="L122" s="340"/>
      <c r="M122" s="455"/>
      <c r="N122" s="455"/>
      <c r="O122" s="455"/>
    </row>
    <row r="123" spans="1:15">
      <c r="A123" s="6" t="s">
        <v>633</v>
      </c>
      <c r="B123" s="452">
        <f t="shared" ref="B123:O123" si="42">IF(OR(B18="A",B18="B"),B109,(B109-B121-B122)*B73)</f>
        <v>5000000</v>
      </c>
      <c r="C123" s="452">
        <f t="shared" si="42"/>
        <v>4500000</v>
      </c>
      <c r="D123" s="452">
        <f t="shared" si="42"/>
        <v>7000000</v>
      </c>
      <c r="E123" s="452">
        <f t="shared" si="42"/>
        <v>9000000</v>
      </c>
      <c r="F123" s="452">
        <f t="shared" si="42"/>
        <v>14000000</v>
      </c>
      <c r="G123" s="452">
        <f t="shared" si="42"/>
        <v>0</v>
      </c>
      <c r="H123" s="452">
        <f t="shared" si="42"/>
        <v>4700</v>
      </c>
      <c r="I123" s="452">
        <f t="shared" si="42"/>
        <v>3700</v>
      </c>
      <c r="J123" s="452">
        <f t="shared" si="42"/>
        <v>50000000</v>
      </c>
      <c r="K123" s="452">
        <f t="shared" si="42"/>
        <v>8000000</v>
      </c>
      <c r="L123" s="452">
        <f t="shared" si="42"/>
        <v>90000000</v>
      </c>
      <c r="M123" s="452">
        <f t="shared" si="42"/>
        <v>5000000</v>
      </c>
      <c r="N123" s="452">
        <f t="shared" si="42"/>
        <v>6500000</v>
      </c>
      <c r="O123" s="452">
        <f t="shared" si="42"/>
        <v>6000000</v>
      </c>
    </row>
    <row r="124" spans="1:15">
      <c r="A124" s="6" t="s">
        <v>635</v>
      </c>
      <c r="B124" s="452">
        <f t="shared" ref="B124:O124" si="43">IF(OR(B18="A",B18="B"),0,ROUND(B123*$B$5,0)+ROUND(B111*$B$5,0)+ROUND(B112*$B$5,0)+ROUND(B114*$B$5,0))</f>
        <v>0</v>
      </c>
      <c r="C124" s="452">
        <f t="shared" si="43"/>
        <v>0</v>
      </c>
      <c r="D124" s="452">
        <f t="shared" si="43"/>
        <v>0</v>
      </c>
      <c r="E124" s="452">
        <f t="shared" si="43"/>
        <v>0</v>
      </c>
      <c r="F124" s="452">
        <f t="shared" si="43"/>
        <v>0</v>
      </c>
      <c r="G124" s="452">
        <f t="shared" si="43"/>
        <v>0</v>
      </c>
      <c r="H124" s="452">
        <f t="shared" si="43"/>
        <v>145700000</v>
      </c>
      <c r="I124" s="452">
        <f t="shared" si="43"/>
        <v>86950000</v>
      </c>
      <c r="J124" s="452">
        <f t="shared" si="43"/>
        <v>0</v>
      </c>
      <c r="K124" s="452">
        <f t="shared" si="43"/>
        <v>0</v>
      </c>
      <c r="L124" s="452">
        <f t="shared" si="43"/>
        <v>0</v>
      </c>
      <c r="M124" s="452">
        <f t="shared" si="43"/>
        <v>0</v>
      </c>
      <c r="N124" s="452">
        <f t="shared" si="43"/>
        <v>0</v>
      </c>
      <c r="O124" s="452">
        <f t="shared" si="43"/>
        <v>0</v>
      </c>
    </row>
    <row r="125" spans="1:15">
      <c r="A125" s="6" t="s">
        <v>665</v>
      </c>
      <c r="B125" s="5">
        <v>0</v>
      </c>
      <c r="C125" s="5">
        <v>0</v>
      </c>
      <c r="D125" s="5">
        <v>0</v>
      </c>
      <c r="E125" s="5">
        <v>0</v>
      </c>
      <c r="F125" s="5">
        <v>0</v>
      </c>
      <c r="G125" s="5">
        <v>0</v>
      </c>
      <c r="H125" s="5">
        <v>0</v>
      </c>
      <c r="I125" s="5">
        <v>0</v>
      </c>
      <c r="J125" s="5">
        <v>0</v>
      </c>
      <c r="K125" s="5">
        <v>0</v>
      </c>
      <c r="L125" s="5">
        <v>0</v>
      </c>
      <c r="M125" s="5">
        <v>0</v>
      </c>
      <c r="N125" s="5">
        <v>0</v>
      </c>
      <c r="O125" s="5">
        <v>0</v>
      </c>
    </row>
  </sheetData>
  <mergeCells count="5">
    <mergeCell ref="G6:J6"/>
    <mergeCell ref="X6:AA6"/>
    <mergeCell ref="P7:P8"/>
    <mergeCell ref="X9:AA12"/>
    <mergeCell ref="X44:AA44"/>
  </mergeCells>
  <phoneticPr fontId="104" type="noConversion"/>
  <pageMargins left="0.75" right="0.75" top="1" bottom="1" header="0.5" footer="0.5"/>
  <pageSetup paperSize="9" orientation="portrait" verticalDpi="90"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66"/>
  <sheetViews>
    <sheetView workbookViewId="0">
      <pane xSplit="1" ySplit="9" topLeftCell="T28" activePane="bottomRight" state="frozen"/>
      <selection pane="topRight" activeCell="B1" sqref="B1"/>
      <selection pane="bottomLeft" activeCell="A10" sqref="A10"/>
      <selection pane="bottomRight" activeCell="AB37" sqref="AB37:AB38"/>
    </sheetView>
  </sheetViews>
  <sheetFormatPr defaultRowHeight="13.8"/>
  <cols>
    <col min="1" max="1" width="31" style="5" bestFit="1" customWidth="1"/>
    <col min="2" max="5" width="10.77734375" style="5" customWidth="1"/>
    <col min="6" max="8" width="10.77734375" customWidth="1"/>
    <col min="9" max="9" width="11.6640625" bestFit="1" customWidth="1"/>
    <col min="10" max="15" width="10.77734375" customWidth="1"/>
    <col min="16" max="16" width="12.6640625" bestFit="1" customWidth="1"/>
    <col min="17" max="18" width="12.77734375" customWidth="1"/>
    <col min="19" max="21" width="10.77734375" customWidth="1"/>
    <col min="22" max="26" width="9.33203125" style="5" customWidth="1"/>
    <col min="27" max="27" width="10.77734375" style="5" bestFit="1" customWidth="1"/>
    <col min="28" max="29" width="9.33203125" style="5" customWidth="1"/>
  </cols>
  <sheetData>
    <row r="1" spans="1:29" s="3" customFormat="1" ht="20.399999999999999">
      <c r="A1" s="110" t="s">
        <v>6</v>
      </c>
      <c r="B1" s="110"/>
      <c r="C1" s="110"/>
      <c r="D1" s="110"/>
      <c r="E1" s="110"/>
      <c r="F1" s="449"/>
      <c r="L1" s="8"/>
      <c r="X1" s="1"/>
      <c r="Y1" s="1"/>
      <c r="Z1" s="1"/>
      <c r="AA1" s="1"/>
      <c r="AB1" s="1"/>
      <c r="AC1" s="1"/>
    </row>
    <row r="2" spans="1:29" s="3" customFormat="1" ht="12.75" customHeight="1">
      <c r="B2" s="116"/>
      <c r="C2" s="116"/>
      <c r="D2" s="116"/>
      <c r="E2" s="115"/>
      <c r="V2" s="22"/>
      <c r="W2" s="22"/>
      <c r="X2" s="22"/>
      <c r="Y2" s="22"/>
      <c r="Z2" s="22"/>
      <c r="AA2" s="2"/>
      <c r="AC2" s="2"/>
    </row>
    <row r="3" spans="1:29" s="3" customFormat="1" ht="30">
      <c r="A3" s="112" t="s">
        <v>1208</v>
      </c>
      <c r="B3" s="116"/>
      <c r="C3" s="116"/>
      <c r="D3" s="116"/>
      <c r="E3" s="112"/>
      <c r="V3" s="22"/>
      <c r="W3" s="22"/>
      <c r="X3" s="22"/>
      <c r="Y3" s="22"/>
      <c r="Z3" s="22"/>
      <c r="AA3" s="2"/>
      <c r="AC3" s="2"/>
    </row>
    <row r="4" spans="1:29" s="116" customFormat="1">
      <c r="A4" s="116" t="s">
        <v>541</v>
      </c>
      <c r="B4" s="367">
        <v>23205</v>
      </c>
    </row>
    <row r="5" spans="1:29" s="116" customFormat="1">
      <c r="A5" s="116" t="s">
        <v>1273</v>
      </c>
      <c r="B5" s="367">
        <v>23500</v>
      </c>
    </row>
    <row r="6" spans="1:29" s="3" customFormat="1" ht="18" customHeight="1">
      <c r="A6" s="327">
        <v>43646</v>
      </c>
      <c r="B6" s="116"/>
      <c r="C6" s="116"/>
      <c r="D6" s="116"/>
      <c r="G6" s="721" t="s">
        <v>52</v>
      </c>
      <c r="H6" s="721"/>
      <c r="I6" s="721"/>
      <c r="J6" s="721"/>
      <c r="V6" s="22"/>
      <c r="W6" s="22"/>
      <c r="X6" s="720" t="s">
        <v>65</v>
      </c>
      <c r="Y6" s="720"/>
      <c r="Z6" s="720"/>
      <c r="AA6" s="720"/>
      <c r="AB6" s="2"/>
      <c r="AC6" s="2"/>
    </row>
    <row r="7" spans="1:29" s="4" customFormat="1">
      <c r="A7" s="409"/>
      <c r="B7" s="323" t="s">
        <v>34</v>
      </c>
      <c r="C7" s="324" t="s">
        <v>35</v>
      </c>
      <c r="D7" s="324" t="s">
        <v>36</v>
      </c>
      <c r="E7" s="324" t="s">
        <v>37</v>
      </c>
      <c r="F7" s="324" t="s">
        <v>38</v>
      </c>
      <c r="G7" s="324" t="s">
        <v>39</v>
      </c>
      <c r="H7" s="324" t="s">
        <v>40</v>
      </c>
      <c r="I7" s="324" t="s">
        <v>41</v>
      </c>
      <c r="J7" s="324" t="s">
        <v>42</v>
      </c>
      <c r="K7" s="324" t="s">
        <v>43</v>
      </c>
      <c r="L7" s="324" t="s">
        <v>44</v>
      </c>
      <c r="M7" s="324" t="s">
        <v>45</v>
      </c>
      <c r="N7" s="529" t="s">
        <v>46</v>
      </c>
      <c r="O7" s="324" t="s">
        <v>47</v>
      </c>
      <c r="P7" s="731" t="s">
        <v>500</v>
      </c>
      <c r="Q7" s="349" t="s">
        <v>516</v>
      </c>
      <c r="R7" s="349" t="s">
        <v>517</v>
      </c>
      <c r="S7" s="349" t="s">
        <v>519</v>
      </c>
      <c r="T7" s="349" t="s">
        <v>521</v>
      </c>
      <c r="U7" s="349" t="s">
        <v>523</v>
      </c>
      <c r="V7" s="350"/>
      <c r="W7" s="351"/>
      <c r="X7" s="351"/>
      <c r="Y7" s="351"/>
      <c r="Z7" s="351"/>
      <c r="AA7" s="351"/>
      <c r="AB7" s="351"/>
      <c r="AC7" s="352"/>
    </row>
    <row r="8" spans="1:29" ht="15.6">
      <c r="A8" s="410"/>
      <c r="B8" s="117">
        <f>'New Hire'!C6</f>
        <v>91999901</v>
      </c>
      <c r="C8" s="339">
        <f>'New Hire'!D6</f>
        <v>91999902</v>
      </c>
      <c r="D8" s="339">
        <f>'New Hire'!E6</f>
        <v>91999903</v>
      </c>
      <c r="E8" s="339">
        <f>'New Hire'!F6</f>
        <v>91999904</v>
      </c>
      <c r="F8" s="339">
        <f>'New Hire'!G6</f>
        <v>91999905</v>
      </c>
      <c r="G8" s="339">
        <f>'New Hire'!H6</f>
        <v>91999906</v>
      </c>
      <c r="H8" s="339">
        <f>'New Hire'!I6</f>
        <v>91999907</v>
      </c>
      <c r="I8" s="339">
        <f>'New Hire'!J6</f>
        <v>91999908</v>
      </c>
      <c r="J8" s="339">
        <f>'New Hire'!K6</f>
        <v>91999909</v>
      </c>
      <c r="K8" s="339">
        <f>'New Hire'!L6</f>
        <v>91999910</v>
      </c>
      <c r="L8" s="339">
        <f>'New Hire'!M6</f>
        <v>91999911</v>
      </c>
      <c r="M8" s="339">
        <f>'New Hire'!N6</f>
        <v>91999912</v>
      </c>
      <c r="N8" s="530">
        <f>'New Hire'!O6</f>
        <v>91999913</v>
      </c>
      <c r="O8" s="339">
        <f>'New Hire'!P6</f>
        <v>91999914</v>
      </c>
      <c r="P8" s="732"/>
      <c r="Q8" s="349" t="s">
        <v>515</v>
      </c>
      <c r="R8" s="349" t="s">
        <v>518</v>
      </c>
      <c r="S8" s="349" t="s">
        <v>520</v>
      </c>
      <c r="T8" s="349" t="s">
        <v>522</v>
      </c>
      <c r="U8" s="349" t="s">
        <v>524</v>
      </c>
      <c r="V8" s="47"/>
      <c r="W8" s="48"/>
      <c r="X8" s="20"/>
      <c r="Y8" s="20"/>
      <c r="Z8" s="20"/>
      <c r="AA8" s="20"/>
      <c r="AB8" s="20"/>
      <c r="AC8" s="15"/>
    </row>
    <row r="9" spans="1:29" ht="12.75" customHeight="1">
      <c r="A9" s="411" t="s">
        <v>63</v>
      </c>
      <c r="B9" s="23"/>
      <c r="C9" s="19"/>
      <c r="D9" s="19"/>
      <c r="E9" s="20"/>
      <c r="F9" s="19"/>
      <c r="G9" s="19"/>
      <c r="H9" s="21"/>
      <c r="I9" s="19"/>
      <c r="J9" s="19"/>
      <c r="K9" s="20"/>
      <c r="L9" s="20"/>
      <c r="M9" s="20"/>
      <c r="N9" s="20"/>
      <c r="O9" s="15"/>
      <c r="P9" s="15"/>
      <c r="Q9" s="20"/>
      <c r="R9" s="20"/>
      <c r="S9" s="20"/>
      <c r="T9" s="20"/>
      <c r="U9" s="20"/>
      <c r="V9" s="25"/>
      <c r="W9" s="26"/>
      <c r="X9" s="722" t="s">
        <v>608</v>
      </c>
      <c r="Y9" s="723"/>
      <c r="Z9" s="723"/>
      <c r="AA9" s="724"/>
      <c r="AB9" s="27"/>
      <c r="AC9" s="18"/>
    </row>
    <row r="10" spans="1:29">
      <c r="A10" s="424" t="s">
        <v>480</v>
      </c>
      <c r="B10" s="385">
        <v>43617</v>
      </c>
      <c r="C10" s="385">
        <v>43617</v>
      </c>
      <c r="D10" s="385">
        <v>43617</v>
      </c>
      <c r="E10" s="385">
        <v>43617</v>
      </c>
      <c r="F10" s="385">
        <v>43617</v>
      </c>
      <c r="G10" s="385">
        <v>43617</v>
      </c>
      <c r="H10" s="385">
        <v>43617</v>
      </c>
      <c r="I10" s="385">
        <v>43617</v>
      </c>
      <c r="J10" s="385">
        <v>43617</v>
      </c>
      <c r="K10" s="385">
        <v>43617</v>
      </c>
      <c r="L10" s="385">
        <v>43617</v>
      </c>
      <c r="M10" s="385">
        <v>43617</v>
      </c>
      <c r="N10" s="385">
        <v>43617</v>
      </c>
      <c r="O10" s="386">
        <v>43617</v>
      </c>
      <c r="P10" s="15"/>
      <c r="Q10" s="20"/>
      <c r="R10" s="20"/>
      <c r="S10" s="20"/>
      <c r="T10" s="20"/>
      <c r="U10" s="20"/>
      <c r="V10" s="28"/>
      <c r="W10" s="29"/>
      <c r="X10" s="725"/>
      <c r="Y10" s="726"/>
      <c r="Z10" s="726"/>
      <c r="AA10" s="727"/>
      <c r="AB10" s="30"/>
      <c r="AC10" s="15"/>
    </row>
    <row r="11" spans="1:29" ht="12.75" customHeight="1">
      <c r="A11" s="485" t="s">
        <v>725</v>
      </c>
      <c r="B11" s="486">
        <v>43617</v>
      </c>
      <c r="C11" s="486">
        <v>43617</v>
      </c>
      <c r="D11" s="486">
        <v>43617</v>
      </c>
      <c r="E11" s="486">
        <v>43633</v>
      </c>
      <c r="F11" s="486">
        <v>43617</v>
      </c>
      <c r="G11" s="486">
        <v>43617</v>
      </c>
      <c r="H11" s="486">
        <v>43617</v>
      </c>
      <c r="I11" s="486">
        <v>43617</v>
      </c>
      <c r="J11" s="486">
        <v>43617</v>
      </c>
      <c r="K11" s="486">
        <v>43617</v>
      </c>
      <c r="L11" s="486">
        <v>43617</v>
      </c>
      <c r="M11" s="486">
        <v>43619</v>
      </c>
      <c r="N11" s="486">
        <v>43617</v>
      </c>
      <c r="O11" s="489">
        <v>43633</v>
      </c>
      <c r="P11" s="15"/>
      <c r="Q11" s="20"/>
      <c r="R11" s="20"/>
      <c r="S11" s="20"/>
      <c r="T11" s="20"/>
      <c r="U11" s="20"/>
      <c r="V11" s="32"/>
      <c r="W11" s="20"/>
      <c r="X11" s="725"/>
      <c r="Y11" s="726"/>
      <c r="Z11" s="726"/>
      <c r="AA11" s="727"/>
      <c r="AB11" s="20"/>
      <c r="AC11" s="15"/>
    </row>
    <row r="12" spans="1:29" ht="12.75" customHeight="1">
      <c r="A12" s="485" t="s">
        <v>1186</v>
      </c>
      <c r="B12" s="486"/>
      <c r="C12" s="486"/>
      <c r="D12" s="486">
        <v>43623</v>
      </c>
      <c r="E12" s="486"/>
      <c r="F12" s="486"/>
      <c r="G12" s="486"/>
      <c r="H12" s="486"/>
      <c r="I12" s="486"/>
      <c r="J12" s="486"/>
      <c r="K12" s="486"/>
      <c r="L12" s="486"/>
      <c r="M12" s="486"/>
      <c r="N12" s="486"/>
      <c r="O12" s="489"/>
      <c r="P12" s="15"/>
      <c r="Q12" s="20"/>
      <c r="R12" s="20"/>
      <c r="S12" s="20"/>
      <c r="T12" s="20"/>
      <c r="U12" s="20"/>
      <c r="V12" s="32"/>
      <c r="W12" s="20"/>
      <c r="X12" s="728"/>
      <c r="Y12" s="729"/>
      <c r="Z12" s="729"/>
      <c r="AA12" s="730"/>
      <c r="AB12" s="20"/>
      <c r="AC12" s="15"/>
    </row>
    <row r="13" spans="1:29">
      <c r="A13" s="99" t="s">
        <v>491</v>
      </c>
      <c r="B13" s="387" t="str">
        <f>'New Hire'!C10</f>
        <v>1</v>
      </c>
      <c r="C13" s="388" t="str">
        <f>'New Hire'!D10</f>
        <v>P</v>
      </c>
      <c r="D13" s="388" t="str">
        <f>'New Hire'!E10</f>
        <v>3</v>
      </c>
      <c r="E13" s="613" t="s">
        <v>964</v>
      </c>
      <c r="F13" s="388">
        <f>'New Hire'!G10</f>
        <v>4</v>
      </c>
      <c r="G13" s="388" t="str">
        <f>'New Hire'!H10</f>
        <v>C</v>
      </c>
      <c r="H13" s="388" t="str">
        <f>'New Hire'!I10</f>
        <v>I</v>
      </c>
      <c r="I13" s="388" t="str">
        <f>'New Hire'!J10</f>
        <v>S</v>
      </c>
      <c r="J13" s="388" t="str">
        <f>'New Hire'!K10</f>
        <v>P</v>
      </c>
      <c r="K13" s="388" t="str">
        <f>'New Hire'!L10</f>
        <v>1</v>
      </c>
      <c r="L13" s="388" t="str">
        <f>'New Hire'!M10</f>
        <v>1</v>
      </c>
      <c r="M13" s="388">
        <f>'New Hire'!N10</f>
        <v>3</v>
      </c>
      <c r="N13" s="388">
        <f>'New Hire'!O10</f>
        <v>3</v>
      </c>
      <c r="O13" s="656" t="s">
        <v>1234</v>
      </c>
      <c r="P13" s="15"/>
      <c r="Q13" s="20"/>
      <c r="R13" s="20"/>
      <c r="S13" s="20"/>
      <c r="T13" s="20"/>
      <c r="U13" s="20"/>
      <c r="V13" s="23"/>
      <c r="W13" s="19"/>
      <c r="X13" s="19"/>
      <c r="Y13" s="19"/>
      <c r="Z13" s="19"/>
      <c r="AA13" s="19"/>
      <c r="AB13" s="19"/>
      <c r="AC13" s="31"/>
    </row>
    <row r="14" spans="1:29">
      <c r="A14" s="99" t="s">
        <v>492</v>
      </c>
      <c r="B14" s="390" t="str">
        <f>'New Hire'!C11</f>
        <v>;P</v>
      </c>
      <c r="C14" s="391" t="str">
        <f>'New Hire'!D11</f>
        <v>;A</v>
      </c>
      <c r="D14" s="391" t="str">
        <f>'New Hire'!E11</f>
        <v>;E</v>
      </c>
      <c r="E14" s="391" t="str">
        <f>'New Hire'!F11</f>
        <v>;I</v>
      </c>
      <c r="F14" s="391" t="str">
        <f>'New Hire'!G11</f>
        <v>;P</v>
      </c>
      <c r="G14" s="391" t="str">
        <f>'New Hire'!H11</f>
        <v>;A</v>
      </c>
      <c r="H14" s="391" t="str">
        <f>'New Hire'!I11</f>
        <v>;A</v>
      </c>
      <c r="I14" s="391" t="str">
        <f>'New Hire'!J11</f>
        <v>;V</v>
      </c>
      <c r="J14" s="391" t="str">
        <f>'New Hire'!K11</f>
        <v>;P</v>
      </c>
      <c r="K14" s="391" t="str">
        <f>'New Hire'!L11</f>
        <v>;A</v>
      </c>
      <c r="L14" s="391" t="str">
        <f>'New Hire'!M11</f>
        <v>;I</v>
      </c>
      <c r="M14" s="391" t="str">
        <f>'New Hire'!N11</f>
        <v>;P</v>
      </c>
      <c r="N14" s="391" t="str">
        <f>'New Hire'!O11</f>
        <v>;I</v>
      </c>
      <c r="O14" s="392" t="str">
        <f>'New Hire'!P11</f>
        <v>;I</v>
      </c>
      <c r="P14" s="15"/>
      <c r="Q14" s="20"/>
      <c r="R14" s="20"/>
      <c r="S14" s="20"/>
      <c r="T14" s="20"/>
      <c r="U14" s="20"/>
      <c r="V14" s="23"/>
      <c r="W14" s="19"/>
      <c r="X14" s="19"/>
      <c r="Y14" s="19"/>
      <c r="Z14" s="19"/>
      <c r="AA14" s="19"/>
      <c r="AB14" s="19"/>
      <c r="AC14" s="31"/>
    </row>
    <row r="15" spans="1:29">
      <c r="A15" s="100" t="s">
        <v>477</v>
      </c>
      <c r="B15" s="394">
        <f>'New Hire'!C26</f>
        <v>100</v>
      </c>
      <c r="C15" s="338">
        <f>'New Hire'!D26</f>
        <v>50</v>
      </c>
      <c r="D15" s="338">
        <f>'New Hire'!E26</f>
        <v>100</v>
      </c>
      <c r="E15" s="338">
        <f>'New Hire'!F26</f>
        <v>100</v>
      </c>
      <c r="F15" s="338">
        <f>'New Hire'!G26</f>
        <v>100</v>
      </c>
      <c r="G15" s="338">
        <f>'New Hire'!H26</f>
        <v>100</v>
      </c>
      <c r="H15" s="338">
        <f>'New Hire'!I26</f>
        <v>50</v>
      </c>
      <c r="I15" s="338">
        <f>'New Hire'!J26</f>
        <v>100</v>
      </c>
      <c r="J15" s="338">
        <f>'New Hire'!K26</f>
        <v>50</v>
      </c>
      <c r="K15" s="338">
        <f>'New Hire'!L26</f>
        <v>100</v>
      </c>
      <c r="L15" s="338">
        <f>'New Hire'!M26</f>
        <v>100</v>
      </c>
      <c r="M15" s="338">
        <f>'New Hire'!N26</f>
        <v>100</v>
      </c>
      <c r="N15" s="338">
        <f>'New Hire'!O26</f>
        <v>100</v>
      </c>
      <c r="O15" s="395">
        <f>'New Hire'!P26</f>
        <v>100</v>
      </c>
      <c r="P15" s="15"/>
      <c r="Q15" s="20"/>
      <c r="R15" s="20"/>
      <c r="S15" s="20"/>
      <c r="T15" s="20"/>
      <c r="U15" s="20"/>
      <c r="V15" s="23"/>
      <c r="W15" s="19"/>
      <c r="X15" s="19"/>
      <c r="Y15" s="19"/>
      <c r="Z15" s="19"/>
      <c r="AA15" s="19"/>
      <c r="AB15" s="19"/>
      <c r="AC15" s="31"/>
    </row>
    <row r="16" spans="1:29">
      <c r="A16" s="424" t="s">
        <v>481</v>
      </c>
      <c r="B16" s="338">
        <f>B18-B17</f>
        <v>0</v>
      </c>
      <c r="C16" s="338">
        <f t="shared" ref="C16:O16" si="0">C18-C17</f>
        <v>0</v>
      </c>
      <c r="D16" s="338">
        <f>NETWORKDAYS(D11,D12)</f>
        <v>5</v>
      </c>
      <c r="E16" s="338">
        <f t="shared" si="0"/>
        <v>10</v>
      </c>
      <c r="F16" s="338">
        <f t="shared" si="0"/>
        <v>0</v>
      </c>
      <c r="G16" s="338">
        <f t="shared" si="0"/>
        <v>0</v>
      </c>
      <c r="H16" s="338">
        <f t="shared" si="0"/>
        <v>0</v>
      </c>
      <c r="I16" s="338">
        <f t="shared" si="0"/>
        <v>0</v>
      </c>
      <c r="J16" s="338">
        <f t="shared" si="0"/>
        <v>0</v>
      </c>
      <c r="K16" s="338">
        <f t="shared" si="0"/>
        <v>0</v>
      </c>
      <c r="L16" s="338">
        <f t="shared" si="0"/>
        <v>0</v>
      </c>
      <c r="M16" s="338">
        <f t="shared" si="0"/>
        <v>0</v>
      </c>
      <c r="N16" s="338">
        <f t="shared" si="0"/>
        <v>0</v>
      </c>
      <c r="O16" s="338">
        <f t="shared" si="0"/>
        <v>10</v>
      </c>
      <c r="P16" s="15"/>
      <c r="Q16" s="20"/>
      <c r="R16" s="20"/>
      <c r="S16" s="20"/>
      <c r="T16" s="20"/>
      <c r="U16" s="20"/>
      <c r="V16" s="23"/>
      <c r="W16" s="19"/>
      <c r="X16" s="19"/>
      <c r="Y16" s="19"/>
      <c r="Z16" s="19"/>
      <c r="AA16" s="19"/>
      <c r="AB16" s="19"/>
      <c r="AC16" s="31"/>
    </row>
    <row r="17" spans="1:29">
      <c r="A17" s="485" t="s">
        <v>723</v>
      </c>
      <c r="B17" s="487">
        <f>NETWORKDAYS(B11,$A$6)</f>
        <v>20</v>
      </c>
      <c r="C17" s="487">
        <f>NETWORKDAYS(C11,$A$6)</f>
        <v>20</v>
      </c>
      <c r="D17" s="487">
        <v>0</v>
      </c>
      <c r="E17" s="487">
        <f t="shared" ref="E17:O17" si="1">NETWORKDAYS(E11,$A$6)</f>
        <v>10</v>
      </c>
      <c r="F17" s="487">
        <f t="shared" si="1"/>
        <v>20</v>
      </c>
      <c r="G17" s="487">
        <f t="shared" si="1"/>
        <v>20</v>
      </c>
      <c r="H17" s="487">
        <f t="shared" si="1"/>
        <v>20</v>
      </c>
      <c r="I17" s="487">
        <f t="shared" si="1"/>
        <v>20</v>
      </c>
      <c r="J17" s="487">
        <f t="shared" si="1"/>
        <v>20</v>
      </c>
      <c r="K17" s="487">
        <f t="shared" si="1"/>
        <v>20</v>
      </c>
      <c r="L17" s="487">
        <f t="shared" si="1"/>
        <v>20</v>
      </c>
      <c r="M17" s="487">
        <f t="shared" si="1"/>
        <v>20</v>
      </c>
      <c r="N17" s="487">
        <f t="shared" si="1"/>
        <v>20</v>
      </c>
      <c r="O17" s="490">
        <f t="shared" si="1"/>
        <v>10</v>
      </c>
      <c r="P17" s="15"/>
      <c r="Q17" s="20"/>
      <c r="R17" s="20"/>
      <c r="S17" s="20"/>
      <c r="T17" s="20"/>
      <c r="U17" s="20"/>
      <c r="V17" s="23"/>
      <c r="W17" s="19"/>
      <c r="X17" s="19"/>
      <c r="Y17" s="19"/>
      <c r="Z17" s="19"/>
      <c r="AA17" s="19"/>
      <c r="AB17" s="19"/>
      <c r="AC17" s="31"/>
    </row>
    <row r="18" spans="1:29">
      <c r="A18" s="424" t="s">
        <v>639</v>
      </c>
      <c r="B18" s="338">
        <f>NETWORKDAYS(EOMONTH($A$6,-1)+1,EOMONTH($A$6,0))</f>
        <v>20</v>
      </c>
      <c r="C18" s="338">
        <f t="shared" ref="C18:O18" si="2">NETWORKDAYS(EOMONTH($A$6,-1)+1,EOMONTH($A$6,0))</f>
        <v>20</v>
      </c>
      <c r="D18" s="338">
        <f t="shared" si="2"/>
        <v>20</v>
      </c>
      <c r="E18" s="338">
        <f t="shared" si="2"/>
        <v>20</v>
      </c>
      <c r="F18" s="338">
        <f t="shared" si="2"/>
        <v>20</v>
      </c>
      <c r="G18" s="338">
        <f t="shared" si="2"/>
        <v>20</v>
      </c>
      <c r="H18" s="338">
        <f t="shared" si="2"/>
        <v>20</v>
      </c>
      <c r="I18" s="338">
        <f t="shared" si="2"/>
        <v>20</v>
      </c>
      <c r="J18" s="338">
        <f t="shared" si="2"/>
        <v>20</v>
      </c>
      <c r="K18" s="338">
        <f t="shared" si="2"/>
        <v>20</v>
      </c>
      <c r="L18" s="338">
        <f t="shared" si="2"/>
        <v>20</v>
      </c>
      <c r="M18" s="338">
        <f t="shared" si="2"/>
        <v>20</v>
      </c>
      <c r="N18" s="338">
        <f t="shared" si="2"/>
        <v>20</v>
      </c>
      <c r="O18" s="395">
        <f t="shared" si="2"/>
        <v>20</v>
      </c>
      <c r="P18" s="15"/>
      <c r="Q18" s="20"/>
      <c r="R18" s="20"/>
      <c r="S18" s="20"/>
      <c r="T18" s="20"/>
      <c r="U18" s="20"/>
      <c r="V18" s="23"/>
      <c r="W18" s="19"/>
      <c r="X18" s="19"/>
      <c r="Y18" s="19"/>
      <c r="Z18" s="19"/>
      <c r="AA18" s="19"/>
      <c r="AB18" s="19"/>
      <c r="AC18" s="31"/>
    </row>
    <row r="19" spans="1:29">
      <c r="A19" s="424" t="s">
        <v>513</v>
      </c>
      <c r="B19" s="335">
        <f>30-B20</f>
        <v>0</v>
      </c>
      <c r="C19" s="335">
        <f t="shared" ref="C19:O19" si="3">30-C20</f>
        <v>0</v>
      </c>
      <c r="D19" s="335">
        <f>_xlfn.DAYS(D12,D11)+1</f>
        <v>7</v>
      </c>
      <c r="E19" s="335">
        <f t="shared" si="3"/>
        <v>16</v>
      </c>
      <c r="F19" s="335">
        <f t="shared" si="3"/>
        <v>0</v>
      </c>
      <c r="G19" s="335">
        <f t="shared" si="3"/>
        <v>0</v>
      </c>
      <c r="H19" s="335">
        <f t="shared" si="3"/>
        <v>0</v>
      </c>
      <c r="I19" s="335">
        <f t="shared" si="3"/>
        <v>0</v>
      </c>
      <c r="J19" s="335">
        <f t="shared" si="3"/>
        <v>0</v>
      </c>
      <c r="K19" s="335">
        <f t="shared" si="3"/>
        <v>0</v>
      </c>
      <c r="L19" s="335">
        <f t="shared" si="3"/>
        <v>0</v>
      </c>
      <c r="M19" s="335">
        <f t="shared" si="3"/>
        <v>2</v>
      </c>
      <c r="N19" s="335">
        <f t="shared" si="3"/>
        <v>0</v>
      </c>
      <c r="O19" s="397">
        <f t="shared" si="3"/>
        <v>16</v>
      </c>
      <c r="P19" s="15"/>
      <c r="Q19" s="20"/>
      <c r="R19" s="20"/>
      <c r="S19" s="20"/>
      <c r="T19" s="20"/>
      <c r="U19" s="20"/>
      <c r="V19" s="23"/>
      <c r="W19" s="19"/>
      <c r="X19" s="19"/>
      <c r="Y19" s="19"/>
      <c r="Z19" s="19"/>
      <c r="AA19" s="19"/>
      <c r="AB19" s="19"/>
      <c r="AC19" s="31"/>
    </row>
    <row r="20" spans="1:29" ht="15.6">
      <c r="A20" s="485" t="s">
        <v>724</v>
      </c>
      <c r="B20" s="488">
        <f>_xlfn.DAYS($A$6,B11)+1</f>
        <v>30</v>
      </c>
      <c r="C20" s="488">
        <f>_xlfn.DAYS($A$6,C11)+1</f>
        <v>30</v>
      </c>
      <c r="D20" s="488">
        <v>0</v>
      </c>
      <c r="E20" s="488">
        <f t="shared" ref="E20:O20" si="4">_xlfn.DAYS($A$6,E11)+1</f>
        <v>14</v>
      </c>
      <c r="F20" s="488">
        <f t="shared" si="4"/>
        <v>30</v>
      </c>
      <c r="G20" s="488">
        <f t="shared" si="4"/>
        <v>30</v>
      </c>
      <c r="H20" s="488">
        <f t="shared" si="4"/>
        <v>30</v>
      </c>
      <c r="I20" s="488">
        <f t="shared" si="4"/>
        <v>30</v>
      </c>
      <c r="J20" s="488">
        <f t="shared" si="4"/>
        <v>30</v>
      </c>
      <c r="K20" s="488">
        <f t="shared" si="4"/>
        <v>30</v>
      </c>
      <c r="L20" s="488">
        <f t="shared" si="4"/>
        <v>30</v>
      </c>
      <c r="M20" s="488">
        <f t="shared" si="4"/>
        <v>28</v>
      </c>
      <c r="N20" s="488">
        <f t="shared" si="4"/>
        <v>30</v>
      </c>
      <c r="O20" s="494">
        <f t="shared" si="4"/>
        <v>14</v>
      </c>
      <c r="P20" s="15"/>
      <c r="Q20" s="20"/>
      <c r="R20" s="20"/>
      <c r="S20" s="20"/>
      <c r="T20" s="20"/>
      <c r="U20" s="20"/>
      <c r="V20" s="40"/>
      <c r="W20" s="41"/>
      <c r="X20" s="19"/>
      <c r="Y20" s="19"/>
      <c r="Z20" s="19"/>
      <c r="AA20" s="19"/>
      <c r="AB20" s="16"/>
      <c r="AC20" s="17"/>
    </row>
    <row r="21" spans="1:29">
      <c r="A21" s="99" t="s">
        <v>533</v>
      </c>
      <c r="B21" s="336">
        <f>DATEDIF('New Hire'!C41,$A$6,"Y")</f>
        <v>9</v>
      </c>
      <c r="C21" s="337">
        <f>DATEDIF('New Hire'!D41,$A$6,"Y")</f>
        <v>13</v>
      </c>
      <c r="D21" s="337">
        <f>DATEDIF('New Hire'!E41,$A$6,"Y")</f>
        <v>0</v>
      </c>
      <c r="E21" s="337">
        <f>DATEDIF('New Hire'!F41,$A$6,"Y")</f>
        <v>4</v>
      </c>
      <c r="F21" s="337">
        <f>DATEDIF('New Hire'!G41,$A$6,"Y")</f>
        <v>9</v>
      </c>
      <c r="G21" s="337">
        <f>DATEDIF('New Hire'!H41,$A$6,"Y")</f>
        <v>0</v>
      </c>
      <c r="H21" s="337">
        <f>DATEDIF('New Hire'!I41,$A$6,"Y")</f>
        <v>14</v>
      </c>
      <c r="I21" s="337">
        <f>DATEDIF('New Hire'!J41,$A$6,"Y")</f>
        <v>0</v>
      </c>
      <c r="J21" s="337">
        <f>DATEDIF('New Hire'!K41,$A$6,"Y")</f>
        <v>0</v>
      </c>
      <c r="K21" s="337">
        <f>DATEDIF('New Hire'!L41,$A$6,"Y")</f>
        <v>9</v>
      </c>
      <c r="L21" s="337">
        <f>DATEDIF('New Hire'!M41,$A$6,"Y")</f>
        <v>4</v>
      </c>
      <c r="M21" s="337">
        <f>DATEDIF('New Hire'!N41,$A$6,"Y")</f>
        <v>0</v>
      </c>
      <c r="N21" s="337">
        <f>DATEDIF('New Hire'!O41,$A$6,"Y")</f>
        <v>11</v>
      </c>
      <c r="O21" s="393">
        <f>DATEDIF('New Hire'!P41,$A$6,"Y")</f>
        <v>0</v>
      </c>
      <c r="P21" s="15"/>
      <c r="Q21" s="20"/>
      <c r="R21" s="20"/>
      <c r="S21" s="20"/>
      <c r="T21" s="20"/>
      <c r="U21" s="20"/>
      <c r="V21" s="50"/>
      <c r="W21" s="44"/>
      <c r="X21" s="44"/>
      <c r="Y21" s="44"/>
      <c r="Z21" s="44"/>
      <c r="AA21" s="44"/>
      <c r="AB21" s="44"/>
      <c r="AC21" s="51"/>
    </row>
    <row r="22" spans="1:29">
      <c r="A22" s="99" t="s">
        <v>566</v>
      </c>
      <c r="B22" s="336" t="str">
        <f>'New Hire'!C54</f>
        <v>A</v>
      </c>
      <c r="C22" s="337" t="str">
        <f>'New Hire'!D54</f>
        <v>A</v>
      </c>
      <c r="D22" s="337" t="str">
        <f>'New Hire'!E54</f>
        <v>A</v>
      </c>
      <c r="E22" s="337" t="str">
        <f>'New Hire'!F54</f>
        <v>B</v>
      </c>
      <c r="F22" s="337" t="str">
        <f>'New Hire'!G54</f>
        <v>B</v>
      </c>
      <c r="G22" s="337" t="str">
        <f>'New Hire'!H54</f>
        <v>C</v>
      </c>
      <c r="H22" s="337" t="str">
        <f>'New Hire'!I54</f>
        <v>D</v>
      </c>
      <c r="I22" s="337" t="str">
        <f>'New Hire'!J54</f>
        <v>D</v>
      </c>
      <c r="J22" s="337" t="str">
        <f>'New Hire'!K54</f>
        <v>A</v>
      </c>
      <c r="K22" s="337" t="str">
        <f>'New Hire'!L54</f>
        <v>A</v>
      </c>
      <c r="L22" s="337" t="str">
        <f>'New Hire'!M54</f>
        <v>A</v>
      </c>
      <c r="M22" s="337" t="str">
        <f>'New Hire'!N54</f>
        <v>A</v>
      </c>
      <c r="N22" s="337" t="str">
        <f>'New Hire'!O54</f>
        <v>A</v>
      </c>
      <c r="O22" s="393" t="str">
        <f>'New Hire'!P54</f>
        <v>B</v>
      </c>
      <c r="P22" s="15"/>
      <c r="Q22" s="20"/>
      <c r="R22" s="20"/>
      <c r="S22" s="20"/>
      <c r="T22" s="20"/>
      <c r="U22" s="20"/>
      <c r="V22" s="118" t="s">
        <v>57</v>
      </c>
      <c r="W22" s="119" t="s">
        <v>67</v>
      </c>
      <c r="X22" s="119" t="s">
        <v>69</v>
      </c>
      <c r="Y22" s="119" t="s">
        <v>70</v>
      </c>
      <c r="Z22" s="119" t="s">
        <v>56</v>
      </c>
      <c r="AA22" s="119" t="s">
        <v>54</v>
      </c>
      <c r="AB22" s="119" t="s">
        <v>58</v>
      </c>
      <c r="AC22" s="120" t="s">
        <v>59</v>
      </c>
    </row>
    <row r="23" spans="1:29">
      <c r="A23" s="98" t="s">
        <v>107</v>
      </c>
      <c r="B23" s="325">
        <v>1</v>
      </c>
      <c r="C23" s="90">
        <v>2</v>
      </c>
      <c r="D23" s="639">
        <v>0</v>
      </c>
      <c r="E23" s="90">
        <v>3</v>
      </c>
      <c r="F23" s="90">
        <v>0</v>
      </c>
      <c r="G23" s="90">
        <v>0</v>
      </c>
      <c r="H23" s="90">
        <v>2</v>
      </c>
      <c r="I23" s="90">
        <v>0</v>
      </c>
      <c r="J23" s="90">
        <v>0</v>
      </c>
      <c r="K23" s="90">
        <v>0</v>
      </c>
      <c r="L23" s="90">
        <v>0</v>
      </c>
      <c r="M23" s="90">
        <v>0</v>
      </c>
      <c r="N23" s="90">
        <v>0</v>
      </c>
      <c r="O23" s="399">
        <v>0</v>
      </c>
      <c r="P23" s="15"/>
      <c r="Q23" s="20"/>
      <c r="R23" s="20"/>
      <c r="S23" s="20"/>
      <c r="T23" s="20"/>
      <c r="U23" s="20"/>
      <c r="V23" s="356" t="s">
        <v>2</v>
      </c>
      <c r="W23" s="357">
        <v>91999901</v>
      </c>
      <c r="X23" s="358" t="s">
        <v>507</v>
      </c>
      <c r="Y23" s="358" t="s">
        <v>508</v>
      </c>
      <c r="Z23" s="359" t="s">
        <v>509</v>
      </c>
      <c r="AA23" s="360">
        <v>8000000</v>
      </c>
      <c r="AB23" s="358"/>
      <c r="AC23" s="361"/>
    </row>
    <row r="24" spans="1:29">
      <c r="A24" s="97" t="s">
        <v>113</v>
      </c>
      <c r="B24" s="325">
        <f>3600000*B23</f>
        <v>3600000</v>
      </c>
      <c r="C24" s="90">
        <f t="shared" ref="C24:O24" si="5">3600000*C23</f>
        <v>7200000</v>
      </c>
      <c r="D24" s="90">
        <f t="shared" si="5"/>
        <v>0</v>
      </c>
      <c r="E24" s="90">
        <f t="shared" si="5"/>
        <v>10800000</v>
      </c>
      <c r="F24" s="90">
        <f t="shared" si="5"/>
        <v>0</v>
      </c>
      <c r="G24" s="90">
        <f t="shared" si="5"/>
        <v>0</v>
      </c>
      <c r="H24" s="90">
        <f t="shared" si="5"/>
        <v>7200000</v>
      </c>
      <c r="I24" s="90">
        <f t="shared" si="5"/>
        <v>0</v>
      </c>
      <c r="J24" s="90">
        <f t="shared" si="5"/>
        <v>0</v>
      </c>
      <c r="K24" s="90">
        <f t="shared" si="5"/>
        <v>0</v>
      </c>
      <c r="L24" s="90">
        <f t="shared" si="5"/>
        <v>0</v>
      </c>
      <c r="M24" s="90">
        <f t="shared" si="5"/>
        <v>0</v>
      </c>
      <c r="N24" s="90">
        <f t="shared" si="5"/>
        <v>0</v>
      </c>
      <c r="O24" s="399">
        <f t="shared" si="5"/>
        <v>0</v>
      </c>
      <c r="P24" s="15"/>
      <c r="Q24" s="20"/>
      <c r="R24" s="20"/>
      <c r="S24" s="20"/>
      <c r="T24" s="20"/>
      <c r="U24" s="20"/>
      <c r="V24" s="356" t="s">
        <v>2</v>
      </c>
      <c r="W24" s="357">
        <v>91999902</v>
      </c>
      <c r="X24" s="358" t="s">
        <v>507</v>
      </c>
      <c r="Y24" s="358" t="s">
        <v>508</v>
      </c>
      <c r="Z24" s="359" t="s">
        <v>509</v>
      </c>
      <c r="AA24" s="360">
        <v>8000000</v>
      </c>
      <c r="AB24" s="358"/>
      <c r="AC24" s="361"/>
    </row>
    <row r="25" spans="1:29">
      <c r="A25" s="97" t="s">
        <v>114</v>
      </c>
      <c r="B25" s="326">
        <v>9000000</v>
      </c>
      <c r="C25" s="90">
        <v>9000000</v>
      </c>
      <c r="D25" s="90">
        <v>9000000</v>
      </c>
      <c r="E25" s="90">
        <v>9000000</v>
      </c>
      <c r="F25" s="90">
        <v>9000000</v>
      </c>
      <c r="G25" s="90">
        <v>9000000</v>
      </c>
      <c r="H25" s="90">
        <v>9000000</v>
      </c>
      <c r="I25" s="90">
        <v>9000000</v>
      </c>
      <c r="J25" s="90">
        <v>9000000</v>
      </c>
      <c r="K25" s="90">
        <v>9000000</v>
      </c>
      <c r="L25" s="90">
        <v>9000000</v>
      </c>
      <c r="M25" s="90">
        <v>9000000</v>
      </c>
      <c r="N25" s="90">
        <v>9000000</v>
      </c>
      <c r="O25" s="399">
        <v>9000000</v>
      </c>
      <c r="P25" s="15"/>
      <c r="Q25" s="66"/>
      <c r="R25" s="66"/>
      <c r="S25" s="66"/>
      <c r="T25" s="66"/>
      <c r="U25" s="66"/>
      <c r="V25" s="356" t="s">
        <v>2</v>
      </c>
      <c r="W25" s="357">
        <v>91999904</v>
      </c>
      <c r="X25" s="358" t="s">
        <v>511</v>
      </c>
      <c r="Y25" s="358" t="s">
        <v>508</v>
      </c>
      <c r="Z25" s="359" t="s">
        <v>509</v>
      </c>
      <c r="AA25" s="360">
        <v>8000000</v>
      </c>
      <c r="AB25" s="358"/>
      <c r="AC25" s="361"/>
    </row>
    <row r="26" spans="1:29" ht="15.6">
      <c r="A26" s="413" t="s">
        <v>53</v>
      </c>
      <c r="B26" s="64"/>
      <c r="C26" s="65"/>
      <c r="D26" s="65"/>
      <c r="E26" s="66"/>
      <c r="F26" s="65"/>
      <c r="G26" s="65"/>
      <c r="H26" s="21"/>
      <c r="I26" s="65"/>
      <c r="J26" s="65"/>
      <c r="K26" s="66"/>
      <c r="L26" s="66"/>
      <c r="M26" s="66"/>
      <c r="N26" s="66"/>
      <c r="O26" s="382"/>
      <c r="P26" s="382"/>
      <c r="Q26" s="66"/>
      <c r="R26" s="66"/>
      <c r="S26" s="66"/>
      <c r="T26" s="66"/>
      <c r="U26" s="66"/>
      <c r="V26" s="356" t="s">
        <v>2</v>
      </c>
      <c r="W26" s="357">
        <v>91999905</v>
      </c>
      <c r="X26" s="358" t="s">
        <v>507</v>
      </c>
      <c r="Y26" s="358" t="s">
        <v>508</v>
      </c>
      <c r="Z26" s="359" t="s">
        <v>509</v>
      </c>
      <c r="AA26" s="360">
        <v>8000000</v>
      </c>
      <c r="AB26" s="358"/>
      <c r="AC26" s="361"/>
    </row>
    <row r="27" spans="1:29">
      <c r="A27" s="414" t="s">
        <v>55</v>
      </c>
      <c r="B27" s="64"/>
      <c r="C27" s="65"/>
      <c r="D27" s="65"/>
      <c r="E27" s="66"/>
      <c r="F27" s="65"/>
      <c r="G27" s="65"/>
      <c r="H27" s="21"/>
      <c r="I27" s="65"/>
      <c r="J27" s="65"/>
      <c r="K27" s="66"/>
      <c r="L27" s="66"/>
      <c r="M27" s="66"/>
      <c r="N27" s="66"/>
      <c r="O27" s="382"/>
      <c r="P27" s="382"/>
      <c r="Q27" s="66"/>
      <c r="R27" s="66"/>
      <c r="S27" s="66"/>
      <c r="T27" s="66"/>
      <c r="U27" s="66"/>
      <c r="V27" s="356" t="s">
        <v>2</v>
      </c>
      <c r="W27" s="357">
        <v>91999906</v>
      </c>
      <c r="X27" s="358" t="s">
        <v>507</v>
      </c>
      <c r="Y27" s="358" t="s">
        <v>508</v>
      </c>
      <c r="Z27" s="359" t="s">
        <v>509</v>
      </c>
      <c r="AA27" s="360">
        <v>8000000</v>
      </c>
      <c r="AB27" s="358"/>
      <c r="AC27" s="361"/>
    </row>
    <row r="28" spans="1:29">
      <c r="A28" s="445" t="s">
        <v>479</v>
      </c>
      <c r="B28" s="332">
        <f t="shared" ref="B28:O28" si="6">IF(OR(B22="A",B22="B"),IF(B13&lt;&gt;"C",ROUND(B144*B106,0),0),IF(B13&lt;&gt;"C",ROUND(B162*$B$4,0),0))+IF(OR(B22="A",B22="B"),IF(B13&lt;&gt;"C",ROUND(B145*B107,0),0),IF(B13&lt;&gt;"C",ROUND(B163*$B$4,0),0))</f>
        <v>7000000</v>
      </c>
      <c r="C28" s="332">
        <f t="shared" si="6"/>
        <v>6200000</v>
      </c>
      <c r="D28" s="332">
        <f t="shared" si="6"/>
        <v>1750000</v>
      </c>
      <c r="E28" s="332">
        <f t="shared" si="6"/>
        <v>10000000</v>
      </c>
      <c r="F28" s="332">
        <f t="shared" si="6"/>
        <v>16000000</v>
      </c>
      <c r="G28" s="332">
        <f t="shared" si="6"/>
        <v>0</v>
      </c>
      <c r="H28" s="332">
        <f t="shared" si="6"/>
        <v>120666000</v>
      </c>
      <c r="I28" s="332">
        <f t="shared" si="6"/>
        <v>90499500</v>
      </c>
      <c r="J28" s="332">
        <f t="shared" si="6"/>
        <v>55000000</v>
      </c>
      <c r="K28" s="332">
        <f t="shared" si="6"/>
        <v>10000000</v>
      </c>
      <c r="L28" s="332">
        <f t="shared" si="6"/>
        <v>11500000</v>
      </c>
      <c r="M28" s="332">
        <f t="shared" si="6"/>
        <v>7000000</v>
      </c>
      <c r="N28" s="332">
        <f t="shared" si="6"/>
        <v>6500000</v>
      </c>
      <c r="O28" s="400">
        <f t="shared" si="6"/>
        <v>6000000</v>
      </c>
      <c r="P28" s="355">
        <f t="shared" ref="P28:P32" si="7">SUM(B28:O28)</f>
        <v>348115500</v>
      </c>
      <c r="Q28" s="90" t="s">
        <v>525</v>
      </c>
      <c r="R28" s="90" t="s">
        <v>525</v>
      </c>
      <c r="S28" s="90" t="s">
        <v>525</v>
      </c>
      <c r="T28" s="90" t="s">
        <v>525</v>
      </c>
      <c r="U28" s="90" t="s">
        <v>525</v>
      </c>
      <c r="V28" s="356" t="s">
        <v>2</v>
      </c>
      <c r="W28" s="357">
        <v>91999901</v>
      </c>
      <c r="X28" s="358" t="s">
        <v>507</v>
      </c>
      <c r="Y28" s="358" t="s">
        <v>508</v>
      </c>
      <c r="Z28" s="359" t="s">
        <v>537</v>
      </c>
      <c r="AA28" s="360">
        <v>7000000</v>
      </c>
      <c r="AB28" s="358"/>
      <c r="AC28" s="361"/>
    </row>
    <row r="29" spans="1:29">
      <c r="A29" s="451" t="s">
        <v>496</v>
      </c>
      <c r="B29" s="332">
        <f t="shared" ref="B29:O29" si="8">IF(OR(B22="A",B22="B"),ROUND(B148*B106,0),ROUND(B148*B106*$B$4,0))+IF(OR(B22="A",B22="B"),ROUND(B149*B107,0),ROUND(B149*B107*$B$4,0))</f>
        <v>700000</v>
      </c>
      <c r="C29" s="332">
        <f t="shared" si="8"/>
        <v>620000</v>
      </c>
      <c r="D29" s="332">
        <f t="shared" si="8"/>
        <v>175000</v>
      </c>
      <c r="E29" s="332">
        <f t="shared" si="8"/>
        <v>0</v>
      </c>
      <c r="F29" s="332">
        <f t="shared" si="8"/>
        <v>0</v>
      </c>
      <c r="G29" s="332">
        <f t="shared" si="8"/>
        <v>0</v>
      </c>
      <c r="H29" s="332">
        <f t="shared" si="8"/>
        <v>12762750</v>
      </c>
      <c r="I29" s="332">
        <f t="shared" si="8"/>
        <v>0</v>
      </c>
      <c r="J29" s="332">
        <f t="shared" si="8"/>
        <v>5500000</v>
      </c>
      <c r="K29" s="332">
        <f t="shared" si="8"/>
        <v>1000000</v>
      </c>
      <c r="L29" s="332">
        <f t="shared" si="8"/>
        <v>0</v>
      </c>
      <c r="M29" s="332">
        <f t="shared" si="8"/>
        <v>1400000</v>
      </c>
      <c r="N29" s="332">
        <f t="shared" si="8"/>
        <v>1000000</v>
      </c>
      <c r="O29" s="400">
        <f t="shared" si="8"/>
        <v>0</v>
      </c>
      <c r="P29" s="355">
        <f t="shared" si="7"/>
        <v>23157750</v>
      </c>
      <c r="Q29" s="379" t="s">
        <v>525</v>
      </c>
      <c r="R29" s="379" t="s">
        <v>525</v>
      </c>
      <c r="S29" s="379" t="s">
        <v>525</v>
      </c>
      <c r="T29" s="379" t="s">
        <v>525</v>
      </c>
      <c r="U29" s="90" t="s">
        <v>525</v>
      </c>
      <c r="V29" s="356" t="s">
        <v>2</v>
      </c>
      <c r="W29" s="357">
        <v>91999902</v>
      </c>
      <c r="X29" s="358" t="s">
        <v>507</v>
      </c>
      <c r="Y29" s="358" t="s">
        <v>508</v>
      </c>
      <c r="Z29" s="359" t="s">
        <v>537</v>
      </c>
      <c r="AA29" s="360">
        <v>7000000</v>
      </c>
      <c r="AB29" s="358"/>
      <c r="AC29" s="361"/>
    </row>
    <row r="30" spans="1:29">
      <c r="A30" s="451" t="s">
        <v>569</v>
      </c>
      <c r="B30" s="332">
        <f t="shared" ref="B30:O30" si="9">IF(OR(B22="A",B22="B"),ROUND(B150*B106,0),ROUND(B150*B106*$B$4,0))+IF(OR(B22="A",B22="B"),ROUND(B151*B107,0),ROUND(B151*B107*$B$4,0))</f>
        <v>1400000</v>
      </c>
      <c r="C30" s="332">
        <f t="shared" si="9"/>
        <v>1240000</v>
      </c>
      <c r="D30" s="332">
        <f t="shared" si="9"/>
        <v>350000</v>
      </c>
      <c r="E30" s="332">
        <f t="shared" si="9"/>
        <v>0</v>
      </c>
      <c r="F30" s="332">
        <f t="shared" si="9"/>
        <v>0</v>
      </c>
      <c r="G30" s="332">
        <f t="shared" si="9"/>
        <v>0</v>
      </c>
      <c r="H30" s="332">
        <f t="shared" si="9"/>
        <v>25525500</v>
      </c>
      <c r="I30" s="332">
        <f t="shared" si="9"/>
        <v>0</v>
      </c>
      <c r="J30" s="332">
        <f t="shared" si="9"/>
        <v>11000000</v>
      </c>
      <c r="K30" s="332">
        <f t="shared" si="9"/>
        <v>2000000</v>
      </c>
      <c r="L30" s="332">
        <f t="shared" si="9"/>
        <v>0</v>
      </c>
      <c r="M30" s="332">
        <f t="shared" si="9"/>
        <v>2100000</v>
      </c>
      <c r="N30" s="332">
        <f t="shared" si="9"/>
        <v>1500000</v>
      </c>
      <c r="O30" s="400">
        <f t="shared" si="9"/>
        <v>0</v>
      </c>
      <c r="P30" s="355">
        <f t="shared" si="7"/>
        <v>45115500</v>
      </c>
      <c r="Q30" s="379" t="s">
        <v>525</v>
      </c>
      <c r="R30" s="379" t="s">
        <v>525</v>
      </c>
      <c r="S30" s="379" t="s">
        <v>525</v>
      </c>
      <c r="T30" s="379" t="s">
        <v>525</v>
      </c>
      <c r="U30" s="90" t="s">
        <v>525</v>
      </c>
      <c r="V30" s="356" t="s">
        <v>2</v>
      </c>
      <c r="W30" s="357">
        <v>91999904</v>
      </c>
      <c r="X30" s="358" t="s">
        <v>511</v>
      </c>
      <c r="Y30" s="358" t="s">
        <v>508</v>
      </c>
      <c r="Z30" s="359" t="s">
        <v>537</v>
      </c>
      <c r="AA30" s="360">
        <v>7000000</v>
      </c>
      <c r="AB30" s="358"/>
      <c r="AC30" s="361"/>
    </row>
    <row r="31" spans="1:29">
      <c r="A31" s="445" t="s">
        <v>427</v>
      </c>
      <c r="B31" s="332"/>
      <c r="C31" s="332"/>
      <c r="D31" s="332"/>
      <c r="E31" s="340"/>
      <c r="F31" s="332"/>
      <c r="G31" s="332">
        <f>ROUND(G146*B4,0)*AC44+ROUND(G146*B4,0)*AC45</f>
        <v>23205000</v>
      </c>
      <c r="H31" s="332"/>
      <c r="I31" s="332"/>
      <c r="J31" s="332"/>
      <c r="K31" s="340"/>
      <c r="L31" s="340"/>
      <c r="M31" s="340"/>
      <c r="N31" s="340"/>
      <c r="O31" s="401"/>
      <c r="P31" s="355">
        <f t="shared" si="7"/>
        <v>23205000</v>
      </c>
      <c r="Q31" s="379" t="s">
        <v>525</v>
      </c>
      <c r="R31" s="379" t="s">
        <v>525</v>
      </c>
      <c r="S31" s="379"/>
      <c r="T31" s="379"/>
      <c r="U31" s="379"/>
      <c r="V31" s="356" t="s">
        <v>2</v>
      </c>
      <c r="W31" s="357">
        <v>91999905</v>
      </c>
      <c r="X31" s="358" t="s">
        <v>507</v>
      </c>
      <c r="Y31" s="358" t="s">
        <v>508</v>
      </c>
      <c r="Z31" s="359" t="s">
        <v>537</v>
      </c>
      <c r="AA31" s="360">
        <v>7000000</v>
      </c>
      <c r="AB31" s="358"/>
      <c r="AC31" s="361"/>
    </row>
    <row r="32" spans="1:29">
      <c r="A32" s="585" t="s">
        <v>874</v>
      </c>
      <c r="B32" s="368"/>
      <c r="C32" s="368"/>
      <c r="D32" s="368">
        <f>ROUND(ROUND(D138/8,2)*D100,0)</f>
        <v>3473400</v>
      </c>
      <c r="E32" s="368"/>
      <c r="F32" s="368"/>
      <c r="G32" s="368"/>
      <c r="H32" s="368"/>
      <c r="I32" s="368"/>
      <c r="J32" s="368"/>
      <c r="K32" s="368"/>
      <c r="L32" s="368"/>
      <c r="M32" s="368"/>
      <c r="N32" s="368"/>
      <c r="O32" s="586"/>
      <c r="P32" s="344">
        <f t="shared" si="7"/>
        <v>3473400</v>
      </c>
      <c r="Q32" s="543" t="s">
        <v>525</v>
      </c>
      <c r="R32" s="543" t="s">
        <v>525</v>
      </c>
      <c r="S32" s="587"/>
      <c r="T32" s="587"/>
      <c r="U32" s="587"/>
      <c r="V32" s="356" t="s">
        <v>2</v>
      </c>
      <c r="W32" s="357">
        <v>91999906</v>
      </c>
      <c r="X32" s="358" t="s">
        <v>507</v>
      </c>
      <c r="Y32" s="358" t="s">
        <v>508</v>
      </c>
      <c r="Z32" s="359" t="s">
        <v>537</v>
      </c>
      <c r="AA32" s="360">
        <v>7000000</v>
      </c>
      <c r="AB32" s="358"/>
      <c r="AC32" s="361"/>
    </row>
    <row r="33" spans="1:31">
      <c r="A33" s="506" t="s">
        <v>733</v>
      </c>
      <c r="B33" s="510">
        <f>B83+B85</f>
        <v>43269</v>
      </c>
      <c r="C33" s="438"/>
      <c r="D33" s="438"/>
      <c r="E33" s="438">
        <f>ROUND('UAT5-May'!E69*AD47*100%,0)+E85</f>
        <v>194712</v>
      </c>
      <c r="F33" s="438"/>
      <c r="G33" s="438"/>
      <c r="H33" s="438"/>
      <c r="I33" s="438"/>
      <c r="J33" s="438"/>
      <c r="K33" s="438"/>
      <c r="L33" s="438"/>
      <c r="M33" s="438">
        <f>ROUND('UAT5-May'!M69*AD49*100%,0)+ROUND('UAT5-May'!M69*AD50*100%,0)+ROUND('UAT5-May'!M69*AD51*100%,0)+ROUND('UAT5-May'!M69*AD52*100%,0)+ROUND('UAT5-May'!M69*AD53*100%,0)+ROUND('UAT5-May'!M69*AD54*100%,0)+M85</f>
        <v>778843</v>
      </c>
      <c r="N33" s="438">
        <f>ROUND('UAT5-May'!N69*AD55*100%,0)+N85</f>
        <v>168750</v>
      </c>
      <c r="O33" s="438"/>
      <c r="P33" s="513">
        <f>SUM(B33:O33)</f>
        <v>1185574</v>
      </c>
      <c r="Q33" s="446" t="s">
        <v>525</v>
      </c>
      <c r="R33" s="446" t="s">
        <v>525</v>
      </c>
      <c r="S33" s="435"/>
      <c r="T33" s="435"/>
      <c r="U33" s="435"/>
      <c r="V33" s="356" t="s">
        <v>2</v>
      </c>
      <c r="W33" s="357">
        <v>91999907</v>
      </c>
      <c r="X33" s="358" t="s">
        <v>603</v>
      </c>
      <c r="Y33" s="358" t="s">
        <v>508</v>
      </c>
      <c r="Z33" s="359">
        <v>7065</v>
      </c>
      <c r="AA33" s="360">
        <v>100</v>
      </c>
      <c r="AB33" s="447" t="s">
        <v>542</v>
      </c>
      <c r="AC33" s="448"/>
    </row>
    <row r="34" spans="1:31">
      <c r="A34" s="506" t="s">
        <v>734</v>
      </c>
      <c r="B34" s="510"/>
      <c r="C34" s="438"/>
      <c r="D34" s="438"/>
      <c r="E34" s="438">
        <f>ROUND('UAT5-May'!E69*AE47*100%,0)+E86</f>
        <v>151875</v>
      </c>
      <c r="F34" s="438"/>
      <c r="G34" s="438"/>
      <c r="H34" s="438"/>
      <c r="I34" s="438"/>
      <c r="J34" s="438"/>
      <c r="K34" s="438"/>
      <c r="L34" s="438"/>
      <c r="M34" s="438"/>
      <c r="N34" s="438">
        <f>ROUND('UAT5-May'!N69*AE55*100%,0)+N86</f>
        <v>73125</v>
      </c>
      <c r="O34" s="438"/>
      <c r="P34" s="513">
        <f>SUM(B34:O34)</f>
        <v>225000</v>
      </c>
      <c r="Q34" s="446" t="s">
        <v>525</v>
      </c>
      <c r="R34" s="446" t="s">
        <v>525</v>
      </c>
      <c r="S34" s="512"/>
      <c r="T34" s="512"/>
      <c r="U34" s="512"/>
      <c r="V34" s="356" t="s">
        <v>2</v>
      </c>
      <c r="W34" s="357">
        <v>91999908</v>
      </c>
      <c r="X34" s="358" t="s">
        <v>507</v>
      </c>
      <c r="Y34" s="358" t="s">
        <v>508</v>
      </c>
      <c r="Z34" s="359">
        <v>7065</v>
      </c>
      <c r="AA34" s="360">
        <v>100</v>
      </c>
      <c r="AB34" s="447" t="s">
        <v>542</v>
      </c>
      <c r="AC34" s="448"/>
    </row>
    <row r="35" spans="1:31">
      <c r="A35" s="506" t="s">
        <v>710</v>
      </c>
      <c r="B35" s="510"/>
      <c r="C35" s="438"/>
      <c r="D35" s="438"/>
      <c r="E35" s="438"/>
      <c r="F35" s="438"/>
      <c r="G35" s="438"/>
      <c r="H35" s="438"/>
      <c r="I35" s="438"/>
      <c r="J35" s="438"/>
      <c r="K35" s="438"/>
      <c r="L35" s="438"/>
      <c r="M35" s="438">
        <f>ROUND('UAT5-May'!M69*AD48*100%,0)+M87</f>
        <v>634612</v>
      </c>
      <c r="N35" s="438"/>
      <c r="O35" s="511"/>
      <c r="P35" s="464">
        <f t="shared" ref="P35:P39" si="10">SUM(B35:O35)</f>
        <v>634612</v>
      </c>
      <c r="Q35" s="446" t="s">
        <v>525</v>
      </c>
      <c r="R35" s="446" t="s">
        <v>525</v>
      </c>
      <c r="S35" s="435"/>
      <c r="T35" s="435"/>
      <c r="U35" s="435"/>
      <c r="V35" s="356" t="s">
        <v>2</v>
      </c>
      <c r="W35" s="357">
        <v>91999907</v>
      </c>
      <c r="X35" s="358" t="s">
        <v>603</v>
      </c>
      <c r="Y35" s="358" t="s">
        <v>508</v>
      </c>
      <c r="Z35" s="359">
        <v>7070</v>
      </c>
      <c r="AA35" s="360">
        <v>200</v>
      </c>
      <c r="AB35" s="447" t="s">
        <v>542</v>
      </c>
      <c r="AC35" s="448"/>
    </row>
    <row r="36" spans="1:31">
      <c r="A36" s="506" t="s">
        <v>709</v>
      </c>
      <c r="B36" s="510"/>
      <c r="C36" s="438"/>
      <c r="D36" s="438"/>
      <c r="E36" s="438"/>
      <c r="F36" s="438"/>
      <c r="G36" s="438"/>
      <c r="H36" s="438"/>
      <c r="I36" s="438"/>
      <c r="J36" s="438"/>
      <c r="K36" s="438"/>
      <c r="L36" s="438"/>
      <c r="M36" s="438">
        <f>ROUND('UAT5-May'!M69*AE48*100%,0)+M88</f>
        <v>75000</v>
      </c>
      <c r="N36" s="438"/>
      <c r="O36" s="511"/>
      <c r="P36" s="464">
        <f t="shared" si="10"/>
        <v>75000</v>
      </c>
      <c r="Q36" s="446" t="s">
        <v>525</v>
      </c>
      <c r="R36" s="446" t="s">
        <v>525</v>
      </c>
      <c r="S36" s="512"/>
      <c r="T36" s="512"/>
      <c r="U36" s="512"/>
      <c r="V36" s="356" t="s">
        <v>2</v>
      </c>
      <c r="W36" s="357">
        <v>91999908</v>
      </c>
      <c r="X36" s="358" t="s">
        <v>507</v>
      </c>
      <c r="Y36" s="358" t="s">
        <v>508</v>
      </c>
      <c r="Z36" s="359">
        <v>7070</v>
      </c>
      <c r="AA36" s="360">
        <v>200</v>
      </c>
      <c r="AB36" s="447" t="s">
        <v>542</v>
      </c>
      <c r="AC36" s="448"/>
    </row>
    <row r="37" spans="1:31">
      <c r="A37" s="506" t="s">
        <v>703</v>
      </c>
      <c r="B37" s="510"/>
      <c r="C37" s="438"/>
      <c r="D37" s="438"/>
      <c r="E37" s="438">
        <f>ROUND('UAT5-May'!E69*AD46*100%,0)+E89</f>
        <v>155769</v>
      </c>
      <c r="F37" s="438"/>
      <c r="G37" s="438"/>
      <c r="H37" s="438"/>
      <c r="I37" s="438"/>
      <c r="J37" s="438"/>
      <c r="K37" s="438"/>
      <c r="L37" s="438"/>
      <c r="M37" s="438"/>
      <c r="N37" s="438"/>
      <c r="O37" s="511"/>
      <c r="P37" s="464">
        <f t="shared" si="10"/>
        <v>155769</v>
      </c>
      <c r="Q37" s="446" t="s">
        <v>525</v>
      </c>
      <c r="R37" s="446" t="s">
        <v>525</v>
      </c>
      <c r="S37" s="435"/>
      <c r="T37" s="435"/>
      <c r="U37" s="435"/>
      <c r="V37" s="356" t="s">
        <v>2</v>
      </c>
      <c r="W37" s="357">
        <v>91999901</v>
      </c>
      <c r="X37" s="358" t="s">
        <v>507</v>
      </c>
      <c r="Y37" s="358" t="s">
        <v>508</v>
      </c>
      <c r="Z37" s="359">
        <v>9140</v>
      </c>
      <c r="AA37" s="360"/>
      <c r="AB37" s="750">
        <v>7.5999999999999998E-2</v>
      </c>
      <c r="AC37" s="448"/>
    </row>
    <row r="38" spans="1:31">
      <c r="A38" s="506" t="s">
        <v>706</v>
      </c>
      <c r="B38" s="510"/>
      <c r="C38" s="438"/>
      <c r="D38" s="438"/>
      <c r="E38" s="438">
        <f>ROUND('UAT5-May'!E69*AE46*100%,0)+E90</f>
        <v>404999</v>
      </c>
      <c r="F38" s="438"/>
      <c r="G38" s="438"/>
      <c r="H38" s="438"/>
      <c r="I38" s="438"/>
      <c r="J38" s="438"/>
      <c r="K38" s="438"/>
      <c r="L38" s="438"/>
      <c r="M38" s="438"/>
      <c r="N38" s="438"/>
      <c r="O38" s="511"/>
      <c r="P38" s="464">
        <f t="shared" si="10"/>
        <v>404999</v>
      </c>
      <c r="Q38" s="446" t="s">
        <v>525</v>
      </c>
      <c r="R38" s="446" t="s">
        <v>525</v>
      </c>
      <c r="S38" s="512"/>
      <c r="T38" s="512"/>
      <c r="U38" s="512"/>
      <c r="V38" s="356" t="s">
        <v>2</v>
      </c>
      <c r="W38" s="357">
        <v>91999907</v>
      </c>
      <c r="X38" s="358" t="s">
        <v>507</v>
      </c>
      <c r="Y38" s="358" t="s">
        <v>508</v>
      </c>
      <c r="Z38" s="359">
        <v>9140</v>
      </c>
      <c r="AA38" s="360"/>
      <c r="AB38" s="750">
        <v>0.56000000000000005</v>
      </c>
      <c r="AC38" s="448"/>
    </row>
    <row r="39" spans="1:31">
      <c r="A39" s="506" t="s">
        <v>920</v>
      </c>
      <c r="B39" s="510"/>
      <c r="C39" s="438"/>
      <c r="D39" s="438"/>
      <c r="E39" s="438"/>
      <c r="F39" s="438"/>
      <c r="G39" s="438"/>
      <c r="H39" s="438"/>
      <c r="I39" s="438">
        <f>ROUND(AC61*'UAT5-May'!I69*150%,0)</f>
        <v>3213000</v>
      </c>
      <c r="J39" s="438"/>
      <c r="K39" s="438"/>
      <c r="L39" s="438"/>
      <c r="M39" s="438"/>
      <c r="N39" s="438"/>
      <c r="O39" s="511"/>
      <c r="P39" s="464">
        <f t="shared" si="10"/>
        <v>3213000</v>
      </c>
      <c r="Q39" s="446" t="s">
        <v>525</v>
      </c>
      <c r="R39" s="446" t="s">
        <v>525</v>
      </c>
      <c r="S39" s="512"/>
      <c r="T39" s="512"/>
      <c r="U39" s="512"/>
      <c r="V39" s="356" t="s">
        <v>773</v>
      </c>
      <c r="W39" s="357">
        <v>91999905</v>
      </c>
      <c r="X39" s="358" t="s">
        <v>507</v>
      </c>
      <c r="Y39" s="358" t="s">
        <v>508</v>
      </c>
      <c r="Z39" s="359" t="s">
        <v>649</v>
      </c>
      <c r="AA39" s="360"/>
      <c r="AB39" s="447">
        <v>1</v>
      </c>
      <c r="AC39" s="448"/>
    </row>
    <row r="40" spans="1:31">
      <c r="A40" s="412"/>
      <c r="B40" s="331"/>
      <c r="C40" s="332"/>
      <c r="D40" s="332"/>
      <c r="E40" s="332"/>
      <c r="F40" s="332"/>
      <c r="G40" s="332"/>
      <c r="H40" s="332"/>
      <c r="I40" s="332"/>
      <c r="J40" s="332"/>
      <c r="K40" s="332"/>
      <c r="L40" s="332"/>
      <c r="M40" s="332"/>
      <c r="N40" s="332"/>
      <c r="O40" s="400"/>
      <c r="P40" s="355"/>
      <c r="V40" s="32"/>
      <c r="W40" s="44"/>
      <c r="X40" s="13"/>
      <c r="Y40" s="13"/>
      <c r="Z40" s="13"/>
      <c r="AA40" s="362"/>
      <c r="AB40" s="13"/>
      <c r="AC40" s="18"/>
    </row>
    <row r="41" spans="1:31">
      <c r="A41" s="528" t="s">
        <v>572</v>
      </c>
      <c r="B41" s="332"/>
      <c r="C41" s="332"/>
      <c r="D41" s="332"/>
      <c r="E41" s="340"/>
      <c r="F41" s="332"/>
      <c r="G41" s="332"/>
      <c r="H41" s="332"/>
      <c r="I41" s="332"/>
      <c r="J41" s="332"/>
      <c r="K41" s="340"/>
      <c r="L41" s="340"/>
      <c r="M41" s="340"/>
      <c r="N41" s="340"/>
      <c r="O41" s="401"/>
      <c r="P41" s="355"/>
      <c r="Q41" s="379"/>
      <c r="R41" s="379"/>
      <c r="S41" s="379"/>
      <c r="T41" s="379"/>
      <c r="U41" s="379"/>
      <c r="V41" s="32"/>
      <c r="W41" s="44"/>
      <c r="X41" s="13"/>
      <c r="Y41" s="13"/>
      <c r="Z41" s="13"/>
      <c r="AA41" s="362"/>
      <c r="AB41" s="13"/>
      <c r="AC41" s="18"/>
    </row>
    <row r="42" spans="1:31">
      <c r="A42" s="445" t="s">
        <v>512</v>
      </c>
      <c r="B42" s="332">
        <f t="shared" ref="B42:O42" si="11">IF(OR(B22="A",B22="B"),B111,ROUND(B111*B15%,0))</f>
        <v>657534</v>
      </c>
      <c r="C42" s="332">
        <f t="shared" si="11"/>
        <v>657534</v>
      </c>
      <c r="D42" s="332">
        <f t="shared" si="11"/>
        <v>0</v>
      </c>
      <c r="E42" s="332">
        <f t="shared" si="11"/>
        <v>657534</v>
      </c>
      <c r="F42" s="332">
        <f t="shared" si="11"/>
        <v>657534</v>
      </c>
      <c r="G42" s="332">
        <f t="shared" si="11"/>
        <v>0</v>
      </c>
      <c r="H42" s="332">
        <f t="shared" si="11"/>
        <v>328767</v>
      </c>
      <c r="I42" s="332">
        <f t="shared" si="11"/>
        <v>0</v>
      </c>
      <c r="J42" s="332">
        <f t="shared" si="11"/>
        <v>0</v>
      </c>
      <c r="K42" s="332">
        <f t="shared" si="11"/>
        <v>0</v>
      </c>
      <c r="L42" s="332">
        <f t="shared" si="11"/>
        <v>0</v>
      </c>
      <c r="M42" s="332">
        <f t="shared" si="11"/>
        <v>0</v>
      </c>
      <c r="N42" s="332">
        <f t="shared" si="11"/>
        <v>0</v>
      </c>
      <c r="O42" s="400">
        <f t="shared" si="11"/>
        <v>0</v>
      </c>
      <c r="P42" s="346">
        <f>SUM(B42:O42)</f>
        <v>2958903</v>
      </c>
      <c r="Q42" s="379"/>
      <c r="R42" s="379" t="s">
        <v>597</v>
      </c>
      <c r="S42" s="379"/>
      <c r="T42" s="379"/>
      <c r="U42" s="379"/>
      <c r="V42" s="42"/>
      <c r="W42" s="43"/>
      <c r="X42" s="13"/>
      <c r="Y42" s="13"/>
      <c r="Z42" s="61"/>
      <c r="AA42" s="362"/>
      <c r="AB42" s="13"/>
      <c r="AC42" s="18"/>
    </row>
    <row r="43" spans="1:31">
      <c r="A43" s="445" t="s">
        <v>534</v>
      </c>
      <c r="B43" s="332">
        <f t="shared" ref="B43:O43" si="12">IF(OR(B22="A",B22="B"),ROUND(2369796/365*(B19+B20),0),ROUND(ROUND(2466.55*$B$4,0)/365*(B19+B20),0))*B23*IF(B21&lt;3,0,IF(B21&lt;6,50%,100%))</f>
        <v>194778</v>
      </c>
      <c r="C43" s="332">
        <f t="shared" si="12"/>
        <v>389556</v>
      </c>
      <c r="D43" s="332">
        <f t="shared" si="12"/>
        <v>0</v>
      </c>
      <c r="E43" s="332">
        <f t="shared" si="12"/>
        <v>292167</v>
      </c>
      <c r="F43" s="332">
        <f t="shared" si="12"/>
        <v>0</v>
      </c>
      <c r="G43" s="332">
        <f t="shared" si="12"/>
        <v>0</v>
      </c>
      <c r="H43" s="332">
        <f t="shared" si="12"/>
        <v>9408706</v>
      </c>
      <c r="I43" s="332">
        <f t="shared" si="12"/>
        <v>0</v>
      </c>
      <c r="J43" s="332">
        <f t="shared" si="12"/>
        <v>0</v>
      </c>
      <c r="K43" s="332">
        <f t="shared" si="12"/>
        <v>0</v>
      </c>
      <c r="L43" s="332">
        <f t="shared" si="12"/>
        <v>0</v>
      </c>
      <c r="M43" s="332">
        <f t="shared" si="12"/>
        <v>0</v>
      </c>
      <c r="N43" s="332">
        <f t="shared" si="12"/>
        <v>0</v>
      </c>
      <c r="O43" s="400">
        <f t="shared" si="12"/>
        <v>0</v>
      </c>
      <c r="P43" s="346">
        <f>SUM(B43:O43)</f>
        <v>10285207</v>
      </c>
      <c r="Q43" s="379"/>
      <c r="R43" s="379" t="s">
        <v>597</v>
      </c>
      <c r="S43" s="379"/>
      <c r="T43" s="379"/>
      <c r="U43" s="379"/>
      <c r="V43" s="24" t="s">
        <v>57</v>
      </c>
      <c r="W43" s="37" t="s">
        <v>67</v>
      </c>
      <c r="X43" s="37" t="s">
        <v>69</v>
      </c>
      <c r="Y43" s="37" t="s">
        <v>70</v>
      </c>
      <c r="Z43" s="62" t="s">
        <v>425</v>
      </c>
      <c r="AA43" s="363" t="s">
        <v>426</v>
      </c>
      <c r="AB43" s="37" t="s">
        <v>56</v>
      </c>
      <c r="AC43" s="38"/>
    </row>
    <row r="44" spans="1:31">
      <c r="A44" s="412"/>
      <c r="B44" s="331"/>
      <c r="C44" s="332"/>
      <c r="D44" s="332"/>
      <c r="E44" s="340"/>
      <c r="F44" s="368"/>
      <c r="G44" s="368"/>
      <c r="H44" s="368"/>
      <c r="I44" s="368"/>
      <c r="J44" s="368"/>
      <c r="K44" s="340"/>
      <c r="L44" s="340"/>
      <c r="M44" s="340"/>
      <c r="N44" s="340"/>
      <c r="O44" s="401"/>
      <c r="P44" s="355"/>
      <c r="Q44" s="379"/>
      <c r="R44" s="379"/>
      <c r="S44" s="379"/>
      <c r="T44" s="379"/>
      <c r="U44" s="379"/>
      <c r="V44" s="523" t="s">
        <v>424</v>
      </c>
      <c r="W44" s="524">
        <v>91999906</v>
      </c>
      <c r="X44" s="525" t="s">
        <v>735</v>
      </c>
      <c r="Y44" s="525" t="s">
        <v>735</v>
      </c>
      <c r="Z44" s="292">
        <v>0.375</v>
      </c>
      <c r="AA44" s="292">
        <v>0.47916666666666669</v>
      </c>
      <c r="AB44" s="290">
        <v>9180</v>
      </c>
      <c r="AC44" s="479">
        <v>2.5</v>
      </c>
    </row>
    <row r="45" spans="1:31">
      <c r="A45" s="450" t="s">
        <v>61</v>
      </c>
      <c r="B45" s="365">
        <f t="shared" ref="B45:O45" si="13">SUM(B28:B40)</f>
        <v>9143269</v>
      </c>
      <c r="C45" s="366">
        <f t="shared" si="13"/>
        <v>8060000</v>
      </c>
      <c r="D45" s="366">
        <f t="shared" si="13"/>
        <v>5748400</v>
      </c>
      <c r="E45" s="366">
        <f t="shared" si="13"/>
        <v>10907355</v>
      </c>
      <c r="F45" s="366">
        <f t="shared" si="13"/>
        <v>16000000</v>
      </c>
      <c r="G45" s="366">
        <f t="shared" si="13"/>
        <v>23205000</v>
      </c>
      <c r="H45" s="366">
        <f t="shared" si="13"/>
        <v>158954250</v>
      </c>
      <c r="I45" s="366">
        <f t="shared" si="13"/>
        <v>93712500</v>
      </c>
      <c r="J45" s="366">
        <f t="shared" si="13"/>
        <v>71500000</v>
      </c>
      <c r="K45" s="366">
        <f t="shared" si="13"/>
        <v>13000000</v>
      </c>
      <c r="L45" s="366">
        <f t="shared" si="13"/>
        <v>11500000</v>
      </c>
      <c r="M45" s="366">
        <f t="shared" si="13"/>
        <v>11988455</v>
      </c>
      <c r="N45" s="495">
        <f t="shared" si="13"/>
        <v>9241875</v>
      </c>
      <c r="O45" s="496">
        <f t="shared" si="13"/>
        <v>6000000</v>
      </c>
      <c r="P45" s="355">
        <f>SUM(B45:O45)</f>
        <v>448961104</v>
      </c>
      <c r="Q45" s="379"/>
      <c r="R45" s="379"/>
      <c r="S45" s="379"/>
      <c r="T45" s="379"/>
      <c r="U45" s="379"/>
      <c r="V45" s="523" t="s">
        <v>423</v>
      </c>
      <c r="W45" s="524">
        <v>91999906</v>
      </c>
      <c r="X45" s="525" t="s">
        <v>736</v>
      </c>
      <c r="Y45" s="525" t="s">
        <v>736</v>
      </c>
      <c r="Z45" s="292">
        <v>0.375</v>
      </c>
      <c r="AA45" s="292">
        <v>0.47916666666666669</v>
      </c>
      <c r="AB45" s="290">
        <v>9180</v>
      </c>
      <c r="AC45" s="479">
        <v>2.5</v>
      </c>
    </row>
    <row r="46" spans="1:31">
      <c r="A46" s="418"/>
      <c r="B46" s="331"/>
      <c r="C46" s="332"/>
      <c r="D46" s="332"/>
      <c r="E46" s="340"/>
      <c r="F46" s="332"/>
      <c r="G46" s="332"/>
      <c r="H46" s="332"/>
      <c r="I46" s="332"/>
      <c r="J46" s="332"/>
      <c r="K46" s="340"/>
      <c r="L46" s="340"/>
      <c r="M46" s="340"/>
      <c r="N46" s="340"/>
      <c r="O46" s="401"/>
      <c r="P46" s="355"/>
      <c r="Q46" s="379"/>
      <c r="R46" s="379"/>
      <c r="S46" s="379"/>
      <c r="T46" s="379"/>
      <c r="U46" s="379"/>
      <c r="V46" s="514" t="s">
        <v>423</v>
      </c>
      <c r="W46" s="518">
        <v>91999904</v>
      </c>
      <c r="X46" s="444" t="s">
        <v>700</v>
      </c>
      <c r="Y46" s="444" t="s">
        <v>700</v>
      </c>
      <c r="Z46" s="515">
        <v>0.875</v>
      </c>
      <c r="AA46" s="515">
        <v>1</v>
      </c>
      <c r="AB46" s="516">
        <v>9014</v>
      </c>
      <c r="AC46" s="517">
        <v>3</v>
      </c>
      <c r="AD46" s="293">
        <v>1</v>
      </c>
      <c r="AE46" s="293">
        <v>2</v>
      </c>
    </row>
    <row r="47" spans="1:31" ht="15.6">
      <c r="A47" s="419" t="s">
        <v>60</v>
      </c>
      <c r="B47" s="369"/>
      <c r="C47" s="362"/>
      <c r="D47" s="362"/>
      <c r="E47" s="370"/>
      <c r="F47" s="362"/>
      <c r="G47" s="362"/>
      <c r="H47" s="362"/>
      <c r="I47" s="362"/>
      <c r="J47" s="362"/>
      <c r="K47" s="370"/>
      <c r="L47" s="370"/>
      <c r="M47" s="370"/>
      <c r="N47" s="370"/>
      <c r="O47" s="383"/>
      <c r="P47" s="355"/>
      <c r="Q47" s="379"/>
      <c r="R47" s="379"/>
      <c r="S47" s="379"/>
      <c r="T47" s="379"/>
      <c r="U47" s="379"/>
      <c r="V47" s="514" t="s">
        <v>423</v>
      </c>
      <c r="W47" s="518">
        <v>91999904</v>
      </c>
      <c r="X47" s="444" t="s">
        <v>737</v>
      </c>
      <c r="Y47" s="444" t="s">
        <v>737</v>
      </c>
      <c r="Z47" s="515">
        <v>0.8125</v>
      </c>
      <c r="AA47" s="515">
        <v>1</v>
      </c>
      <c r="AB47" s="516">
        <v>9000</v>
      </c>
      <c r="AC47" s="517">
        <v>4.5</v>
      </c>
      <c r="AD47" s="293">
        <v>2.5</v>
      </c>
      <c r="AE47" s="293">
        <v>1.5</v>
      </c>
    </row>
    <row r="48" spans="1:31">
      <c r="A48" s="414" t="s">
        <v>55</v>
      </c>
      <c r="B48" s="369"/>
      <c r="C48" s="362"/>
      <c r="D48" s="362"/>
      <c r="E48" s="370"/>
      <c r="F48" s="362"/>
      <c r="G48" s="362"/>
      <c r="H48" s="362"/>
      <c r="I48" s="362"/>
      <c r="J48" s="362"/>
      <c r="K48" s="370"/>
      <c r="L48" s="370"/>
      <c r="M48" s="370"/>
      <c r="N48" s="370"/>
      <c r="O48" s="383"/>
      <c r="P48" s="355"/>
      <c r="Q48" s="379"/>
      <c r="R48" s="379"/>
      <c r="S48" s="379"/>
      <c r="T48" s="379"/>
      <c r="U48" s="379"/>
      <c r="V48" s="514" t="s">
        <v>423</v>
      </c>
      <c r="W48" s="518">
        <v>91999912</v>
      </c>
      <c r="X48" s="444" t="s">
        <v>707</v>
      </c>
      <c r="Y48" s="444" t="s">
        <v>707</v>
      </c>
      <c r="Z48" s="515">
        <v>0.45833333333333331</v>
      </c>
      <c r="AA48" s="515">
        <v>1</v>
      </c>
      <c r="AB48" s="516">
        <v>9000</v>
      </c>
      <c r="AC48" s="517">
        <v>13</v>
      </c>
      <c r="AD48" s="293">
        <v>11</v>
      </c>
      <c r="AE48" s="293">
        <v>1</v>
      </c>
    </row>
    <row r="49" spans="1:31">
      <c r="A49" s="424" t="s">
        <v>576</v>
      </c>
      <c r="B49" s="332">
        <f>ROUND(MIN(B$118,29800000)*'New Hire'!C56,0)</f>
        <v>728000</v>
      </c>
      <c r="C49" s="332">
        <f>ROUND(MIN(C$118,29800000)*'New Hire'!D56,0)</f>
        <v>644800</v>
      </c>
      <c r="D49" s="332">
        <f>ROUND(MIN(D$118,29800000)*'New Hire'!E56,0)</f>
        <v>0</v>
      </c>
      <c r="E49" s="332">
        <f>ROUND(MIN(E$118,29800000)*'New Hire'!F56,0)</f>
        <v>880000</v>
      </c>
      <c r="F49" s="332">
        <f>ROUND(MIN(F$118,29800000)*'New Hire'!G56,0)</f>
        <v>0</v>
      </c>
      <c r="G49" s="332">
        <f>ROUND(MIN(G$118,29800000)*'New Hire'!H56,0)</f>
        <v>0</v>
      </c>
      <c r="H49" s="332">
        <f>ROUND(MIN(H$118,29800000)*'New Hire'!I56,0)</f>
        <v>0</v>
      </c>
      <c r="I49" s="332">
        <f>ROUND(MIN(I$118,29800000)*'New Hire'!J56,0)</f>
        <v>0</v>
      </c>
      <c r="J49" s="332">
        <f>ROUND(MIN(J$118,29800000)*'New Hire'!K56,0)</f>
        <v>2384000</v>
      </c>
      <c r="K49" s="332">
        <f>ROUND(MIN(K$118,29800000)*'New Hire'!L56,0)</f>
        <v>0</v>
      </c>
      <c r="L49" s="332">
        <f>ROUND(MIN(L$118,29800000)*'New Hire'!M56,0)</f>
        <v>920000</v>
      </c>
      <c r="M49" s="332">
        <f>ROUND(MIN(M$118,29800000)*'New Hire'!N56,0)</f>
        <v>0</v>
      </c>
      <c r="N49" s="332">
        <f>ROUND(MIN(N$118,29800000)*'New Hire'!O56,0)</f>
        <v>0</v>
      </c>
      <c r="O49" s="332">
        <f>ROUND(MIN(O$118,29800000)*'New Hire'!P56,0)</f>
        <v>0</v>
      </c>
      <c r="P49" s="355">
        <f t="shared" ref="P49:P57" si="14">SUM(B49:O49)</f>
        <v>5556800</v>
      </c>
      <c r="Q49" s="379"/>
      <c r="R49" s="379"/>
      <c r="S49" s="379"/>
      <c r="T49" s="379"/>
      <c r="U49" s="379"/>
      <c r="V49" s="514" t="s">
        <v>423</v>
      </c>
      <c r="W49" s="518">
        <v>91999912</v>
      </c>
      <c r="X49" s="444" t="s">
        <v>739</v>
      </c>
      <c r="Y49" s="444" t="s">
        <v>738</v>
      </c>
      <c r="Z49" s="515">
        <v>0.70833333333333337</v>
      </c>
      <c r="AA49" s="515">
        <v>0.83333333333333337</v>
      </c>
      <c r="AB49" s="516">
        <v>9000</v>
      </c>
      <c r="AC49" s="517">
        <v>3</v>
      </c>
      <c r="AD49" s="293">
        <v>3</v>
      </c>
      <c r="AE49" s="293"/>
    </row>
    <row r="50" spans="1:31">
      <c r="A50" s="445" t="s">
        <v>577</v>
      </c>
      <c r="B50" s="332">
        <f>ROUND(MIN(B$118,83600000)*'New Hire'!C59,0)</f>
        <v>91000</v>
      </c>
      <c r="C50" s="332">
        <f>ROUND(MIN(C$118,83600000)*'New Hire'!D59,0)</f>
        <v>80600</v>
      </c>
      <c r="D50" s="332">
        <f>ROUND(MIN(D$118,83600000)*'New Hire'!E59,0)</f>
        <v>0</v>
      </c>
      <c r="E50" s="332">
        <f>ROUND(MIN(E$118,83600000)*'New Hire'!F59,0)</f>
        <v>110000</v>
      </c>
      <c r="F50" s="332">
        <f>ROUND(MIN(F$118,83600000)*'New Hire'!G59,0)</f>
        <v>0</v>
      </c>
      <c r="G50" s="332">
        <f>ROUND(MIN(G$118,83600000)*'New Hire'!H59,0)</f>
        <v>0</v>
      </c>
      <c r="H50" s="332">
        <f>ROUND(MIN(H$118,83600000)*'New Hire'!I59,0)</f>
        <v>0</v>
      </c>
      <c r="I50" s="332">
        <f>ROUND(MIN(I$118,83600000)*'New Hire'!J59,0)</f>
        <v>0</v>
      </c>
      <c r="J50" s="332">
        <f>ROUND(MIN(J$118,83600000)*'New Hire'!K59,0)</f>
        <v>715000</v>
      </c>
      <c r="K50" s="332">
        <f>ROUND(MIN(K$118,83600000)*'New Hire'!L59,0)</f>
        <v>0</v>
      </c>
      <c r="L50" s="332">
        <f>ROUND(MIN(L$118,83600000)*'New Hire'!M59,0)</f>
        <v>115000</v>
      </c>
      <c r="M50" s="332">
        <f>ROUND(MIN(M$118,83600000)*'New Hire'!N59,0)</f>
        <v>0</v>
      </c>
      <c r="N50" s="332">
        <f>ROUND(MIN(N$118,83600000)*'New Hire'!O59,0)</f>
        <v>0</v>
      </c>
      <c r="O50" s="332">
        <f>ROUND(MIN(O$118,83600000)*'New Hire'!P59,0)</f>
        <v>0</v>
      </c>
      <c r="P50" s="355">
        <f t="shared" si="14"/>
        <v>1111600</v>
      </c>
      <c r="Q50" s="379"/>
      <c r="R50" s="379"/>
      <c r="S50" s="379"/>
      <c r="T50" s="379"/>
      <c r="U50" s="379"/>
      <c r="V50" s="514" t="s">
        <v>423</v>
      </c>
      <c r="W50" s="518">
        <v>91999912</v>
      </c>
      <c r="X50" s="444" t="s">
        <v>740</v>
      </c>
      <c r="Y50" s="444" t="s">
        <v>740</v>
      </c>
      <c r="Z50" s="515">
        <v>0.70833333333333337</v>
      </c>
      <c r="AA50" s="515">
        <v>0.85416666666666663</v>
      </c>
      <c r="AB50" s="516">
        <v>9000</v>
      </c>
      <c r="AC50" s="517">
        <v>3</v>
      </c>
      <c r="AD50" s="293">
        <v>3.5</v>
      </c>
      <c r="AE50" s="293"/>
    </row>
    <row r="51" spans="1:31">
      <c r="A51" s="445" t="s">
        <v>578</v>
      </c>
      <c r="B51" s="332">
        <f>ROUND(MIN(B$118,29800000)*'New Hire'!C62,0)</f>
        <v>136500</v>
      </c>
      <c r="C51" s="332">
        <f>ROUND(MIN(C$118,29800000)*'New Hire'!D62,0)</f>
        <v>120900</v>
      </c>
      <c r="D51" s="332">
        <f>ROUND(MIN(D$118,29800000)*'New Hire'!E62,0)</f>
        <v>0</v>
      </c>
      <c r="E51" s="332">
        <f>ROUND(MIN(E$118,29800000)*'New Hire'!F62,0)</f>
        <v>165000</v>
      </c>
      <c r="F51" s="332">
        <f>ROUND(MIN(F$118,29800000)*'New Hire'!G62,0)</f>
        <v>0</v>
      </c>
      <c r="G51" s="332">
        <f>ROUND(MIN(G$118,29800000)*'New Hire'!H62,0)</f>
        <v>0</v>
      </c>
      <c r="H51" s="332">
        <f>ROUND(MIN(H$118,29800000)*'New Hire'!I62,0)</f>
        <v>447000</v>
      </c>
      <c r="I51" s="332">
        <f>ROUND(MIN(I$118,29800000)*'New Hire'!J62,0)</f>
        <v>447000</v>
      </c>
      <c r="J51" s="332">
        <f>ROUND(MIN(J$118,29800000)*'New Hire'!K62,0)</f>
        <v>447000</v>
      </c>
      <c r="K51" s="332">
        <f>ROUND(MIN(K$118,29800000)*'New Hire'!L62,0)</f>
        <v>0</v>
      </c>
      <c r="L51" s="332">
        <f>ROUND(MIN(L$118,29800000)*'New Hire'!M62,0)</f>
        <v>172500</v>
      </c>
      <c r="M51" s="332">
        <f>ROUND(MIN(M$118,29800000)*'New Hire'!N62,0)</f>
        <v>0</v>
      </c>
      <c r="N51" s="332">
        <f>ROUND(MIN(N$118,29800000)*'New Hire'!O62,0)</f>
        <v>0</v>
      </c>
      <c r="O51" s="332">
        <f>ROUND(MIN(O$118,29800000)*'New Hire'!P62,0)</f>
        <v>0</v>
      </c>
      <c r="P51" s="355">
        <f t="shared" si="14"/>
        <v>1935900</v>
      </c>
      <c r="Q51" s="379"/>
      <c r="R51" s="379"/>
      <c r="S51" s="379"/>
      <c r="T51" s="379"/>
      <c r="U51" s="379"/>
      <c r="V51" s="514" t="s">
        <v>423</v>
      </c>
      <c r="W51" s="518">
        <v>91999912</v>
      </c>
      <c r="X51" s="444" t="s">
        <v>741</v>
      </c>
      <c r="Y51" s="444" t="s">
        <v>741</v>
      </c>
      <c r="Z51" s="515">
        <v>0.70833333333333337</v>
      </c>
      <c r="AA51" s="515">
        <v>0.875</v>
      </c>
      <c r="AB51" s="516">
        <v>9000</v>
      </c>
      <c r="AC51" s="517">
        <v>4</v>
      </c>
      <c r="AD51" s="293">
        <v>4</v>
      </c>
      <c r="AE51" s="293"/>
    </row>
    <row r="52" spans="1:31">
      <c r="A52" s="412" t="s">
        <v>111</v>
      </c>
      <c r="B52" s="331">
        <f>B125</f>
        <v>0</v>
      </c>
      <c r="C52" s="332">
        <f>C125</f>
        <v>0</v>
      </c>
      <c r="D52" s="332">
        <f t="shared" ref="D52:O52" si="15">D125</f>
        <v>0</v>
      </c>
      <c r="E52" s="332">
        <f t="shared" si="15"/>
        <v>1149359</v>
      </c>
      <c r="F52" s="332">
        <f t="shared" si="15"/>
        <v>1665753</v>
      </c>
      <c r="G52" s="332">
        <f t="shared" si="15"/>
        <v>1380750</v>
      </c>
      <c r="H52" s="332">
        <f t="shared" si="15"/>
        <v>33738345</v>
      </c>
      <c r="I52" s="332">
        <f t="shared" si="15"/>
        <v>18742500</v>
      </c>
      <c r="J52" s="332">
        <f t="shared" si="15"/>
        <v>11836200</v>
      </c>
      <c r="K52" s="332">
        <f t="shared" si="15"/>
        <v>200000</v>
      </c>
      <c r="L52" s="332">
        <f t="shared" si="15"/>
        <v>64625</v>
      </c>
      <c r="M52" s="332">
        <f t="shared" si="15"/>
        <v>106154</v>
      </c>
      <c r="N52" s="332">
        <f t="shared" si="15"/>
        <v>4594</v>
      </c>
      <c r="O52" s="400">
        <f t="shared" si="15"/>
        <v>600000</v>
      </c>
      <c r="P52" s="355">
        <f t="shared" si="14"/>
        <v>69488280</v>
      </c>
      <c r="Q52" s="379"/>
      <c r="R52" s="379"/>
      <c r="S52" s="379"/>
      <c r="T52" s="379"/>
      <c r="U52" s="379"/>
      <c r="V52" s="514" t="s">
        <v>423</v>
      </c>
      <c r="W52" s="518">
        <v>91999912</v>
      </c>
      <c r="X52" s="444" t="s">
        <v>742</v>
      </c>
      <c r="Y52" s="444" t="s">
        <v>742</v>
      </c>
      <c r="Z52" s="515">
        <v>0.70833333333333337</v>
      </c>
      <c r="AA52" s="515">
        <v>0.875</v>
      </c>
      <c r="AB52" s="516">
        <v>9000</v>
      </c>
      <c r="AC52" s="517">
        <v>4</v>
      </c>
      <c r="AD52" s="293">
        <v>4</v>
      </c>
      <c r="AE52" s="293"/>
    </row>
    <row r="53" spans="1:31">
      <c r="A53" s="506" t="s">
        <v>1206</v>
      </c>
      <c r="B53" s="510"/>
      <c r="C53" s="438"/>
      <c r="D53" s="438">
        <f>161125+271125</f>
        <v>432250</v>
      </c>
      <c r="E53" s="438"/>
      <c r="F53" s="438"/>
      <c r="G53" s="438"/>
      <c r="H53" s="438"/>
      <c r="I53" s="438"/>
      <c r="J53" s="438"/>
      <c r="K53" s="438"/>
      <c r="L53" s="438"/>
      <c r="M53" s="438"/>
      <c r="N53" s="438"/>
      <c r="O53" s="511"/>
      <c r="P53" s="464">
        <f t="shared" si="14"/>
        <v>432250</v>
      </c>
      <c r="Q53" s="379"/>
      <c r="R53" s="379"/>
      <c r="S53" s="379"/>
      <c r="T53" s="379"/>
      <c r="U53" s="379"/>
      <c r="V53" s="514" t="s">
        <v>423</v>
      </c>
      <c r="W53" s="518">
        <v>91999912</v>
      </c>
      <c r="X53" s="444" t="s">
        <v>743</v>
      </c>
      <c r="Y53" s="444" t="s">
        <v>743</v>
      </c>
      <c r="Z53" s="515">
        <v>0.70833333333333337</v>
      </c>
      <c r="AA53" s="515">
        <v>0.83333333333333337</v>
      </c>
      <c r="AB53" s="516">
        <v>9000</v>
      </c>
      <c r="AC53" s="517">
        <v>3</v>
      </c>
      <c r="AD53" s="293">
        <v>3</v>
      </c>
      <c r="AE53" s="293"/>
    </row>
    <row r="54" spans="1:31">
      <c r="A54" s="445" t="s">
        <v>514</v>
      </c>
      <c r="B54" s="332">
        <f t="shared" ref="B54:O54" si="16">B111-B42</f>
        <v>0</v>
      </c>
      <c r="C54" s="332">
        <f t="shared" si="16"/>
        <v>0</v>
      </c>
      <c r="D54" s="332">
        <f t="shared" si="16"/>
        <v>0</v>
      </c>
      <c r="E54" s="332">
        <f t="shared" si="16"/>
        <v>0</v>
      </c>
      <c r="F54" s="332">
        <f t="shared" si="16"/>
        <v>0</v>
      </c>
      <c r="G54" s="332">
        <f t="shared" si="16"/>
        <v>0</v>
      </c>
      <c r="H54" s="332">
        <f t="shared" si="16"/>
        <v>328767</v>
      </c>
      <c r="I54" s="332">
        <f t="shared" si="16"/>
        <v>0</v>
      </c>
      <c r="J54" s="332">
        <f t="shared" si="16"/>
        <v>0</v>
      </c>
      <c r="K54" s="332">
        <f t="shared" si="16"/>
        <v>0</v>
      </c>
      <c r="L54" s="332">
        <f t="shared" si="16"/>
        <v>0</v>
      </c>
      <c r="M54" s="332">
        <f t="shared" si="16"/>
        <v>0</v>
      </c>
      <c r="N54" s="332">
        <f t="shared" si="16"/>
        <v>0</v>
      </c>
      <c r="O54" s="332">
        <f t="shared" si="16"/>
        <v>0</v>
      </c>
      <c r="P54" s="355">
        <f t="shared" si="14"/>
        <v>328767</v>
      </c>
      <c r="Q54" s="379"/>
      <c r="R54" s="379"/>
      <c r="S54" s="379"/>
      <c r="T54" s="379"/>
      <c r="U54" s="379"/>
      <c r="V54" s="514" t="s">
        <v>423</v>
      </c>
      <c r="W54" s="518">
        <v>91999912</v>
      </c>
      <c r="X54" s="444" t="s">
        <v>744</v>
      </c>
      <c r="Y54" s="444" t="s">
        <v>744</v>
      </c>
      <c r="Z54" s="515">
        <v>0.70833333333333337</v>
      </c>
      <c r="AA54" s="515">
        <v>0.83333333333333337</v>
      </c>
      <c r="AB54" s="516">
        <v>9000</v>
      </c>
      <c r="AC54" s="517">
        <v>3</v>
      </c>
      <c r="AD54" s="293">
        <v>0.5</v>
      </c>
      <c r="AE54" s="293"/>
    </row>
    <row r="55" spans="1:31">
      <c r="A55" s="445" t="s">
        <v>535</v>
      </c>
      <c r="B55" s="332">
        <f>B43</f>
        <v>194778</v>
      </c>
      <c r="C55" s="332">
        <f t="shared" ref="C55:O55" si="17">C43</f>
        <v>389556</v>
      </c>
      <c r="D55" s="332">
        <f t="shared" si="17"/>
        <v>0</v>
      </c>
      <c r="E55" s="332">
        <f t="shared" si="17"/>
        <v>292167</v>
      </c>
      <c r="F55" s="332">
        <f t="shared" si="17"/>
        <v>0</v>
      </c>
      <c r="G55" s="332">
        <f t="shared" si="17"/>
        <v>0</v>
      </c>
      <c r="H55" s="332">
        <f t="shared" si="17"/>
        <v>9408706</v>
      </c>
      <c r="I55" s="332">
        <f t="shared" si="17"/>
        <v>0</v>
      </c>
      <c r="J55" s="332">
        <f t="shared" si="17"/>
        <v>0</v>
      </c>
      <c r="K55" s="332">
        <f t="shared" si="17"/>
        <v>0</v>
      </c>
      <c r="L55" s="332">
        <f t="shared" si="17"/>
        <v>0</v>
      </c>
      <c r="M55" s="332">
        <f t="shared" si="17"/>
        <v>0</v>
      </c>
      <c r="N55" s="332">
        <f t="shared" si="17"/>
        <v>0</v>
      </c>
      <c r="O55" s="332">
        <f t="shared" si="17"/>
        <v>0</v>
      </c>
      <c r="P55" s="346">
        <f t="shared" si="14"/>
        <v>10285207</v>
      </c>
      <c r="Q55" s="379"/>
      <c r="R55" s="379"/>
      <c r="S55" s="379"/>
      <c r="T55" s="379"/>
      <c r="U55" s="379"/>
      <c r="V55" s="514" t="s">
        <v>423</v>
      </c>
      <c r="W55" s="518">
        <v>91999913</v>
      </c>
      <c r="X55" s="444" t="s">
        <v>748</v>
      </c>
      <c r="Y55" s="444" t="s">
        <v>748</v>
      </c>
      <c r="Z55" s="515">
        <v>0.79166666666666663</v>
      </c>
      <c r="AA55" s="515">
        <v>0.97916666666666663</v>
      </c>
      <c r="AB55" s="516">
        <v>9000</v>
      </c>
      <c r="AC55" s="517">
        <v>4</v>
      </c>
      <c r="AD55" s="293">
        <v>3</v>
      </c>
      <c r="AE55" s="293">
        <v>1</v>
      </c>
    </row>
    <row r="56" spans="1:31">
      <c r="A56" s="445" t="s">
        <v>538</v>
      </c>
      <c r="B56" s="332">
        <f>B112</f>
        <v>575342</v>
      </c>
      <c r="C56" s="332">
        <f t="shared" ref="C56:O56" si="18">C112</f>
        <v>575342</v>
      </c>
      <c r="D56" s="332">
        <f t="shared" si="18"/>
        <v>0</v>
      </c>
      <c r="E56" s="332">
        <f t="shared" si="18"/>
        <v>575342</v>
      </c>
      <c r="F56" s="332">
        <f t="shared" si="18"/>
        <v>575342</v>
      </c>
      <c r="G56" s="332">
        <f t="shared" si="18"/>
        <v>0</v>
      </c>
      <c r="H56" s="332">
        <f t="shared" si="18"/>
        <v>575342</v>
      </c>
      <c r="I56" s="332">
        <f t="shared" si="18"/>
        <v>0</v>
      </c>
      <c r="J56" s="332">
        <f t="shared" si="18"/>
        <v>0</v>
      </c>
      <c r="K56" s="332">
        <f t="shared" si="18"/>
        <v>0</v>
      </c>
      <c r="L56" s="332">
        <f t="shared" si="18"/>
        <v>0</v>
      </c>
      <c r="M56" s="332">
        <f t="shared" si="18"/>
        <v>0</v>
      </c>
      <c r="N56" s="332">
        <f t="shared" si="18"/>
        <v>0</v>
      </c>
      <c r="O56" s="332">
        <f t="shared" si="18"/>
        <v>0</v>
      </c>
      <c r="P56" s="344">
        <f t="shared" si="14"/>
        <v>2876710</v>
      </c>
      <c r="Q56" s="379"/>
      <c r="R56" s="379"/>
      <c r="S56" s="347"/>
      <c r="T56" s="347"/>
      <c r="U56" s="347"/>
      <c r="V56" s="514" t="s">
        <v>423</v>
      </c>
      <c r="W56" s="518">
        <v>91999901</v>
      </c>
      <c r="X56" s="444" t="s">
        <v>708</v>
      </c>
      <c r="Y56" s="444" t="s">
        <v>708</v>
      </c>
      <c r="Z56" s="515">
        <v>0.8125</v>
      </c>
      <c r="AA56" s="515">
        <v>0</v>
      </c>
      <c r="AB56" s="516">
        <v>9012</v>
      </c>
      <c r="AC56" s="517">
        <v>4.5</v>
      </c>
      <c r="AD56" s="293">
        <v>2.5</v>
      </c>
      <c r="AE56" s="293">
        <v>1.5</v>
      </c>
    </row>
    <row r="57" spans="1:31">
      <c r="A57" s="445" t="s">
        <v>539</v>
      </c>
      <c r="B57" s="332">
        <f>IF(OR(B22="A",B22="B"),0,ROUND(ROUND(297.1*$B$4,0)/365*(B19+B20),0))*B23</f>
        <v>0</v>
      </c>
      <c r="C57" s="332">
        <f t="shared" ref="C57:O57" si="19">IF(OR(C22="A",C22="B"),0,ROUND(ROUND(297.1*$B$4,0)/365*(C19+C20),0))*C23</f>
        <v>0</v>
      </c>
      <c r="D57" s="332">
        <f t="shared" si="19"/>
        <v>0</v>
      </c>
      <c r="E57" s="332">
        <f t="shared" si="19"/>
        <v>0</v>
      </c>
      <c r="F57" s="332">
        <f t="shared" si="19"/>
        <v>0</v>
      </c>
      <c r="G57" s="332">
        <f t="shared" si="19"/>
        <v>0</v>
      </c>
      <c r="H57" s="332">
        <f t="shared" si="19"/>
        <v>1133294</v>
      </c>
      <c r="I57" s="332">
        <f t="shared" si="19"/>
        <v>0</v>
      </c>
      <c r="J57" s="332">
        <f t="shared" si="19"/>
        <v>0</v>
      </c>
      <c r="K57" s="332">
        <f t="shared" si="19"/>
        <v>0</v>
      </c>
      <c r="L57" s="332">
        <f t="shared" si="19"/>
        <v>0</v>
      </c>
      <c r="M57" s="332">
        <f t="shared" si="19"/>
        <v>0</v>
      </c>
      <c r="N57" s="332">
        <f t="shared" si="19"/>
        <v>0</v>
      </c>
      <c r="O57" s="332">
        <f t="shared" si="19"/>
        <v>0</v>
      </c>
      <c r="P57" s="346">
        <f t="shared" si="14"/>
        <v>1133294</v>
      </c>
      <c r="Q57" s="347"/>
      <c r="R57" s="347"/>
      <c r="S57" s="347"/>
      <c r="T57" s="347"/>
      <c r="U57" s="347"/>
      <c r="V57" s="514" t="s">
        <v>423</v>
      </c>
      <c r="W57" s="518">
        <v>91999901</v>
      </c>
      <c r="X57" s="444" t="s">
        <v>714</v>
      </c>
      <c r="Y57" s="444" t="s">
        <v>714</v>
      </c>
      <c r="Z57" s="515">
        <v>0.8125</v>
      </c>
      <c r="AA57" s="515">
        <v>0.85416666666666663</v>
      </c>
      <c r="AB57" s="516">
        <v>9000</v>
      </c>
      <c r="AC57" s="517">
        <v>1</v>
      </c>
      <c r="AD57" s="293">
        <v>1</v>
      </c>
      <c r="AE57" s="293"/>
    </row>
    <row r="58" spans="1:31">
      <c r="A58" s="412"/>
      <c r="B58" s="371"/>
      <c r="C58" s="372"/>
      <c r="D58" s="372"/>
      <c r="E58" s="373"/>
      <c r="F58" s="372"/>
      <c r="G58" s="372"/>
      <c r="H58" s="372"/>
      <c r="I58" s="372"/>
      <c r="J58" s="372"/>
      <c r="K58" s="373"/>
      <c r="L58" s="373"/>
      <c r="M58" s="373"/>
      <c r="N58" s="373"/>
      <c r="O58" s="403"/>
      <c r="P58" s="355"/>
      <c r="Q58" s="379"/>
      <c r="R58" s="379"/>
      <c r="S58" s="379"/>
      <c r="T58" s="379"/>
      <c r="U58" s="379"/>
      <c r="V58" s="514" t="s">
        <v>423</v>
      </c>
      <c r="W58" s="518">
        <v>91999901</v>
      </c>
      <c r="X58" s="444" t="s">
        <v>714</v>
      </c>
      <c r="Y58" s="444" t="s">
        <v>714</v>
      </c>
      <c r="Z58" s="515">
        <v>0.85416666666666663</v>
      </c>
      <c r="AA58" s="515">
        <v>0</v>
      </c>
      <c r="AB58" s="516">
        <v>9012</v>
      </c>
      <c r="AC58" s="517">
        <v>3.5</v>
      </c>
      <c r="AD58" s="293">
        <v>1.5</v>
      </c>
      <c r="AE58" s="293">
        <v>1.5</v>
      </c>
    </row>
    <row r="59" spans="1:31">
      <c r="A59" s="420" t="s">
        <v>4</v>
      </c>
      <c r="B59" s="365">
        <f t="shared" ref="B59:O59" si="20">SUM(B49:B58)</f>
        <v>1725620</v>
      </c>
      <c r="C59" s="366">
        <f t="shared" si="20"/>
        <v>1811198</v>
      </c>
      <c r="D59" s="366">
        <f t="shared" si="20"/>
        <v>432250</v>
      </c>
      <c r="E59" s="366">
        <f t="shared" si="20"/>
        <v>3171868</v>
      </c>
      <c r="F59" s="366">
        <f t="shared" si="20"/>
        <v>2241095</v>
      </c>
      <c r="G59" s="366">
        <f t="shared" si="20"/>
        <v>1380750</v>
      </c>
      <c r="H59" s="366">
        <f t="shared" si="20"/>
        <v>45631454</v>
      </c>
      <c r="I59" s="366">
        <f t="shared" si="20"/>
        <v>19189500</v>
      </c>
      <c r="J59" s="366">
        <f t="shared" si="20"/>
        <v>15382200</v>
      </c>
      <c r="K59" s="366">
        <f t="shared" si="20"/>
        <v>200000</v>
      </c>
      <c r="L59" s="366">
        <f t="shared" si="20"/>
        <v>1272125</v>
      </c>
      <c r="M59" s="366">
        <f t="shared" si="20"/>
        <v>106154</v>
      </c>
      <c r="N59" s="495">
        <f t="shared" si="20"/>
        <v>4594</v>
      </c>
      <c r="O59" s="496">
        <f t="shared" si="20"/>
        <v>600000</v>
      </c>
      <c r="P59" s="355">
        <f>SUM(B59:O59)</f>
        <v>93148808</v>
      </c>
      <c r="Q59" s="379"/>
      <c r="R59" s="379"/>
      <c r="S59" s="379"/>
      <c r="T59" s="379"/>
      <c r="U59" s="379"/>
      <c r="V59" s="514" t="s">
        <v>423</v>
      </c>
      <c r="W59" s="518">
        <v>91999909</v>
      </c>
      <c r="X59" s="444" t="s">
        <v>708</v>
      </c>
      <c r="Y59" s="444" t="s">
        <v>708</v>
      </c>
      <c r="Z59" s="515">
        <v>0.83333333333333337</v>
      </c>
      <c r="AA59" s="515">
        <v>0</v>
      </c>
      <c r="AB59" s="516">
        <v>9012</v>
      </c>
      <c r="AC59" s="517">
        <v>4</v>
      </c>
      <c r="AD59" s="293">
        <v>4</v>
      </c>
      <c r="AE59" s="293"/>
    </row>
    <row r="60" spans="1:31">
      <c r="A60" s="421"/>
      <c r="B60" s="331"/>
      <c r="C60" s="332"/>
      <c r="D60" s="332"/>
      <c r="E60" s="340"/>
      <c r="F60" s="332"/>
      <c r="G60" s="332"/>
      <c r="H60" s="332"/>
      <c r="I60" s="332"/>
      <c r="J60" s="332"/>
      <c r="K60" s="340"/>
      <c r="L60" s="340"/>
      <c r="M60" s="340"/>
      <c r="N60" s="340"/>
      <c r="O60" s="401"/>
      <c r="P60" s="355"/>
      <c r="Q60" s="379"/>
      <c r="R60" s="379"/>
      <c r="S60" s="379"/>
      <c r="T60" s="379"/>
      <c r="U60" s="379"/>
      <c r="V60" s="514" t="s">
        <v>423</v>
      </c>
      <c r="W60" s="518">
        <v>91999909</v>
      </c>
      <c r="X60" s="444" t="s">
        <v>714</v>
      </c>
      <c r="Y60" s="444" t="s">
        <v>714</v>
      </c>
      <c r="Z60" s="515">
        <v>0.83333333333333337</v>
      </c>
      <c r="AA60" s="515">
        <v>0</v>
      </c>
      <c r="AB60" s="516">
        <v>9012</v>
      </c>
      <c r="AC60" s="517">
        <v>4</v>
      </c>
      <c r="AD60" s="293">
        <v>4</v>
      </c>
      <c r="AE60" s="293"/>
    </row>
    <row r="61" spans="1:31" ht="14.4" thickBot="1">
      <c r="A61" s="417" t="s">
        <v>5</v>
      </c>
      <c r="B61" s="333">
        <f t="shared" ref="B61:O61" si="21">B45-B59</f>
        <v>7417649</v>
      </c>
      <c r="C61" s="334">
        <f t="shared" si="21"/>
        <v>6248802</v>
      </c>
      <c r="D61" s="334">
        <f t="shared" si="21"/>
        <v>5316150</v>
      </c>
      <c r="E61" s="334">
        <f t="shared" si="21"/>
        <v>7735487</v>
      </c>
      <c r="F61" s="334">
        <f t="shared" si="21"/>
        <v>13758905</v>
      </c>
      <c r="G61" s="334">
        <f t="shared" si="21"/>
        <v>21824250</v>
      </c>
      <c r="H61" s="334">
        <f t="shared" si="21"/>
        <v>113322796</v>
      </c>
      <c r="I61" s="334">
        <f t="shared" si="21"/>
        <v>74523000</v>
      </c>
      <c r="J61" s="334">
        <f t="shared" si="21"/>
        <v>56117800</v>
      </c>
      <c r="K61" s="334">
        <f t="shared" si="21"/>
        <v>12800000</v>
      </c>
      <c r="L61" s="334">
        <f t="shared" si="21"/>
        <v>10227875</v>
      </c>
      <c r="M61" s="334">
        <f t="shared" si="21"/>
        <v>11882301</v>
      </c>
      <c r="N61" s="334">
        <f t="shared" si="21"/>
        <v>9237281</v>
      </c>
      <c r="O61" s="404">
        <f t="shared" si="21"/>
        <v>5400000</v>
      </c>
      <c r="P61" s="355">
        <f>SUM(B61:O61)</f>
        <v>355812296</v>
      </c>
      <c r="Q61" s="379"/>
      <c r="R61" s="379"/>
      <c r="S61" s="379"/>
      <c r="T61" s="379"/>
      <c r="U61" s="379"/>
      <c r="V61" s="514" t="s">
        <v>918</v>
      </c>
      <c r="W61" s="545">
        <v>91999908</v>
      </c>
      <c r="X61" s="546" t="s">
        <v>919</v>
      </c>
      <c r="Y61" s="546" t="s">
        <v>919</v>
      </c>
      <c r="Z61" s="515"/>
      <c r="AA61" s="515"/>
      <c r="AB61" s="516">
        <v>2100</v>
      </c>
      <c r="AC61" s="517">
        <v>4</v>
      </c>
    </row>
    <row r="62" spans="1:31" ht="14.4" thickTop="1">
      <c r="A62" s="422"/>
      <c r="B62" s="331"/>
      <c r="C62" s="332"/>
      <c r="D62" s="332"/>
      <c r="E62" s="340"/>
      <c r="F62" s="332"/>
      <c r="G62" s="332"/>
      <c r="H62" s="332"/>
      <c r="I62" s="332"/>
      <c r="J62" s="332"/>
      <c r="K62" s="340"/>
      <c r="L62" s="340"/>
      <c r="M62" s="340"/>
      <c r="N62" s="340"/>
      <c r="O62" s="401"/>
      <c r="P62" s="355"/>
      <c r="Q62" s="347"/>
      <c r="R62" s="347"/>
      <c r="S62" s="347"/>
      <c r="T62" s="347"/>
      <c r="U62" s="347"/>
      <c r="V62" s="49" t="s">
        <v>1187</v>
      </c>
      <c r="W62" s="353">
        <v>91999903</v>
      </c>
      <c r="X62" s="289" t="s">
        <v>1188</v>
      </c>
      <c r="Y62" s="289" t="s">
        <v>1188</v>
      </c>
      <c r="Z62" s="292"/>
      <c r="AA62" s="292"/>
      <c r="AB62" s="290">
        <v>50</v>
      </c>
      <c r="AC62" s="479"/>
    </row>
    <row r="63" spans="1:31" ht="15.6">
      <c r="A63" s="411" t="s">
        <v>62</v>
      </c>
      <c r="B63" s="374"/>
      <c r="C63" s="405"/>
      <c r="D63" s="405"/>
      <c r="E63" s="370"/>
      <c r="F63" s="405"/>
      <c r="G63" s="405"/>
      <c r="H63" s="406"/>
      <c r="I63" s="405"/>
      <c r="J63" s="405"/>
      <c r="K63" s="370"/>
      <c r="L63" s="370"/>
      <c r="M63" s="370"/>
      <c r="N63" s="370"/>
      <c r="O63" s="383"/>
      <c r="P63" s="383"/>
      <c r="Q63" s="379"/>
      <c r="R63" s="379"/>
      <c r="S63" s="379"/>
      <c r="T63" s="379"/>
      <c r="U63" s="379"/>
      <c r="V63" s="49"/>
      <c r="W63" s="353"/>
      <c r="X63" s="289"/>
      <c r="Y63" s="289"/>
      <c r="Z63" s="292"/>
      <c r="AA63" s="292"/>
      <c r="AB63" s="290"/>
      <c r="AC63" s="479"/>
    </row>
    <row r="64" spans="1:31">
      <c r="A64" s="424" t="s">
        <v>573</v>
      </c>
      <c r="B64" s="332">
        <f>ROUND(MIN(B$118,29800000)*'New Hire'!C57,0)</f>
        <v>1547000</v>
      </c>
      <c r="C64" s="332">
        <f>ROUND(MIN(C$118,29800000)*'New Hire'!D57,0)</f>
        <v>1410500</v>
      </c>
      <c r="D64" s="332">
        <f>ROUND(MIN(D$118,29800000)*'New Hire'!E57,0)</f>
        <v>0</v>
      </c>
      <c r="E64" s="332">
        <f>ROUND(MIN(E$118,29800000)*'New Hire'!F57,0)</f>
        <v>1870000</v>
      </c>
      <c r="F64" s="332">
        <f>ROUND(MIN(F$118,29800000)*'New Hire'!G57,0)</f>
        <v>0</v>
      </c>
      <c r="G64" s="332">
        <f>ROUND(MIN(G$118,29800000)*'New Hire'!H57,0)</f>
        <v>0</v>
      </c>
      <c r="H64" s="332">
        <f>ROUND(MIN(H$118,29800000)*'New Hire'!I57,0)</f>
        <v>894000</v>
      </c>
      <c r="I64" s="332">
        <f>ROUND(MIN(I$118,29800000)*'New Hire'!J57,0)</f>
        <v>149000</v>
      </c>
      <c r="J64" s="332">
        <f>ROUND(MIN(J$118,29800000)*'New Hire'!K57,0)</f>
        <v>5066000</v>
      </c>
      <c r="K64" s="332">
        <f>ROUND(MIN(K$118,29800000)*'New Hire'!L57,0)</f>
        <v>0</v>
      </c>
      <c r="L64" s="332">
        <f>ROUND(MIN(L$118,29800000)*'New Hire'!M57,0)</f>
        <v>1955000</v>
      </c>
      <c r="M64" s="332">
        <f>ROUND(MIN(M$118,29800000)*'New Hire'!N57,0)</f>
        <v>0</v>
      </c>
      <c r="N64" s="332">
        <f>ROUND(MIN(N$118,29800000)*'New Hire'!O57,0)</f>
        <v>0</v>
      </c>
      <c r="O64" s="332">
        <f>ROUND(MIN(O$118,29800000)*'New Hire'!P57,0)</f>
        <v>0</v>
      </c>
      <c r="P64" s="346">
        <f>SUM(B64:O64)</f>
        <v>12891500</v>
      </c>
      <c r="Q64" s="379"/>
      <c r="R64" s="379"/>
      <c r="S64" s="379"/>
      <c r="T64" s="379"/>
      <c r="U64" s="379"/>
      <c r="V64" s="49"/>
      <c r="W64" s="353"/>
      <c r="X64" s="289"/>
      <c r="Y64" s="289"/>
      <c r="Z64" s="292"/>
      <c r="AA64" s="292"/>
      <c r="AB64" s="290"/>
      <c r="AC64" s="479"/>
    </row>
    <row r="65" spans="1:29">
      <c r="A65" s="445" t="s">
        <v>574</v>
      </c>
      <c r="B65" s="332">
        <f>ROUND(MIN(B$118,83600000)*'New Hire'!C60,0)</f>
        <v>91000</v>
      </c>
      <c r="C65" s="332">
        <f>ROUND(MIN(C$118,83600000)*'New Hire'!D60,0)</f>
        <v>80600</v>
      </c>
      <c r="D65" s="332">
        <f>ROUND(MIN(D$118,83600000)*'New Hire'!E60,0)</f>
        <v>0</v>
      </c>
      <c r="E65" s="332">
        <f>ROUND(MIN(E$118,83600000)*'New Hire'!F60,0)</f>
        <v>110000</v>
      </c>
      <c r="F65" s="332">
        <f>ROUND(MIN(F$118,83600000)*'New Hire'!G60,0)</f>
        <v>0</v>
      </c>
      <c r="G65" s="332">
        <f>ROUND(MIN(G$118,83600000)*'New Hire'!H60,0)</f>
        <v>0</v>
      </c>
      <c r="H65" s="332">
        <f>ROUND(MIN(H$118,83600000)*'New Hire'!I60,0)</f>
        <v>0</v>
      </c>
      <c r="I65" s="332">
        <f>ROUND(MIN(I$118,83600000)*'New Hire'!J60,0)</f>
        <v>0</v>
      </c>
      <c r="J65" s="332">
        <f>ROUND(MIN(J$118,83600000)*'New Hire'!K60,0)</f>
        <v>715000</v>
      </c>
      <c r="K65" s="332">
        <f>ROUND(MIN(K$118,83600000)*'New Hire'!L60,0)</f>
        <v>0</v>
      </c>
      <c r="L65" s="332">
        <f>ROUND(MIN(L$118,83600000)*'New Hire'!M60,0)</f>
        <v>115000</v>
      </c>
      <c r="M65" s="332">
        <f>ROUND(MIN(M$118,83600000)*'New Hire'!N60,0)</f>
        <v>0</v>
      </c>
      <c r="N65" s="332">
        <f>ROUND(MIN(N$118,83600000)*'New Hire'!O60,0)</f>
        <v>0</v>
      </c>
      <c r="O65" s="332">
        <f>ROUND(MIN(O$118,83600000)*'New Hire'!P60,0)</f>
        <v>0</v>
      </c>
      <c r="P65" s="346">
        <f>SUM(B65:O65)</f>
        <v>1111600</v>
      </c>
      <c r="Q65" s="379"/>
      <c r="R65" s="379"/>
      <c r="S65" s="379"/>
      <c r="T65" s="379"/>
      <c r="U65" s="379"/>
      <c r="V65" s="49"/>
      <c r="W65" s="353"/>
      <c r="X65" s="354"/>
      <c r="Y65" s="354"/>
      <c r="Z65" s="292"/>
      <c r="AA65" s="292"/>
      <c r="AB65" s="290"/>
      <c r="AC65" s="479"/>
    </row>
    <row r="66" spans="1:29">
      <c r="A66" s="445" t="s">
        <v>575</v>
      </c>
      <c r="B66" s="332">
        <f>ROUND(MIN(B$118,29800000)*'New Hire'!C63,0)</f>
        <v>273000</v>
      </c>
      <c r="C66" s="332">
        <f>ROUND(MIN(C$118,29800000)*'New Hire'!D63,0)</f>
        <v>241800</v>
      </c>
      <c r="D66" s="332">
        <f>ROUND(MIN(D$118,29800000)*'New Hire'!E63,0)</f>
        <v>0</v>
      </c>
      <c r="E66" s="332">
        <f>ROUND(MIN(E$118,29800000)*'New Hire'!F63,0)</f>
        <v>330000</v>
      </c>
      <c r="F66" s="332">
        <f>ROUND(MIN(F$118,29800000)*'New Hire'!G63,0)</f>
        <v>0</v>
      </c>
      <c r="G66" s="332">
        <f>ROUND(MIN(G$118,29800000)*'New Hire'!H63,0)</f>
        <v>0</v>
      </c>
      <c r="H66" s="332">
        <f>ROUND(MIN(H$118,29800000)*'New Hire'!I63,0)</f>
        <v>894000</v>
      </c>
      <c r="I66" s="332">
        <f>ROUND(MIN(I$118,29800000)*'New Hire'!J63,0)</f>
        <v>894000</v>
      </c>
      <c r="J66" s="332">
        <f>ROUND(MIN(J$118,29800000)*'New Hire'!K63,0)</f>
        <v>894000</v>
      </c>
      <c r="K66" s="332">
        <f>ROUND(MIN(K$118,29800000)*'New Hire'!L63,0)</f>
        <v>0</v>
      </c>
      <c r="L66" s="332">
        <f>ROUND(MIN(L$118,29800000)*'New Hire'!M63,0)</f>
        <v>345000</v>
      </c>
      <c r="M66" s="332">
        <f>ROUND(MIN(M$118,29800000)*'New Hire'!N63,0)</f>
        <v>0</v>
      </c>
      <c r="N66" s="332">
        <f>ROUND(MIN(N$118,29800000)*'New Hire'!O63,0)</f>
        <v>0</v>
      </c>
      <c r="O66" s="332">
        <f>ROUND(MIN(O$118,29800000)*'New Hire'!P63,0)</f>
        <v>0</v>
      </c>
      <c r="P66" s="346">
        <f>SUM(B66:O66)</f>
        <v>3871800</v>
      </c>
      <c r="Q66" s="379"/>
      <c r="R66" s="379"/>
      <c r="S66" s="379"/>
      <c r="T66" s="379"/>
      <c r="U66" s="379"/>
      <c r="V66" s="49"/>
      <c r="W66" s="39"/>
      <c r="X66" s="7"/>
      <c r="Y66" s="7"/>
      <c r="Z66" s="292"/>
      <c r="AA66" s="292"/>
      <c r="AB66" s="290"/>
      <c r="AC66" s="479"/>
    </row>
    <row r="67" spans="1:29">
      <c r="A67" s="412" t="s">
        <v>1131</v>
      </c>
      <c r="B67" s="331">
        <f t="shared" ref="B67:O67" si="22">ROUND(MIN(B118,29800000)*2%,0)</f>
        <v>182000</v>
      </c>
      <c r="C67" s="332">
        <f t="shared" si="22"/>
        <v>161200</v>
      </c>
      <c r="D67" s="332">
        <f t="shared" si="22"/>
        <v>0</v>
      </c>
      <c r="E67" s="332">
        <f t="shared" si="22"/>
        <v>220000</v>
      </c>
      <c r="F67" s="332">
        <f t="shared" si="22"/>
        <v>320000</v>
      </c>
      <c r="G67" s="332">
        <f t="shared" si="22"/>
        <v>0</v>
      </c>
      <c r="H67" s="332">
        <f t="shared" si="22"/>
        <v>596000</v>
      </c>
      <c r="I67" s="332">
        <f t="shared" si="22"/>
        <v>596000</v>
      </c>
      <c r="J67" s="332">
        <f t="shared" si="22"/>
        <v>596000</v>
      </c>
      <c r="K67" s="332">
        <f t="shared" si="22"/>
        <v>260000</v>
      </c>
      <c r="L67" s="332">
        <f t="shared" si="22"/>
        <v>230000</v>
      </c>
      <c r="M67" s="332">
        <f t="shared" si="22"/>
        <v>210000</v>
      </c>
      <c r="N67" s="332">
        <f t="shared" si="22"/>
        <v>180000</v>
      </c>
      <c r="O67" s="400">
        <f t="shared" si="22"/>
        <v>120000</v>
      </c>
      <c r="P67" s="355">
        <f t="shared" ref="P67" si="23">SUM(B67:O67)-J67</f>
        <v>3075200</v>
      </c>
      <c r="Q67" s="379"/>
      <c r="R67" s="379"/>
      <c r="S67" s="379"/>
      <c r="T67" s="379"/>
      <c r="U67" s="379"/>
      <c r="V67" s="49"/>
      <c r="W67" s="39"/>
      <c r="X67" s="7"/>
      <c r="Y67" s="7"/>
      <c r="Z67" s="292"/>
      <c r="AA67" s="292"/>
      <c r="AB67" s="290"/>
      <c r="AC67" s="479"/>
    </row>
    <row r="68" spans="1:29">
      <c r="A68" s="412"/>
      <c r="B68" s="331"/>
      <c r="C68" s="332"/>
      <c r="D68" s="332"/>
      <c r="E68" s="340"/>
      <c r="F68" s="332"/>
      <c r="G68" s="332"/>
      <c r="H68" s="332"/>
      <c r="I68" s="332"/>
      <c r="J68" s="332"/>
      <c r="K68" s="340"/>
      <c r="L68" s="340"/>
      <c r="M68" s="340"/>
      <c r="N68" s="340"/>
      <c r="O68" s="401"/>
      <c r="P68" s="346"/>
      <c r="Q68" s="379"/>
      <c r="R68" s="379"/>
      <c r="S68" s="379"/>
      <c r="T68" s="379"/>
      <c r="U68" s="379"/>
      <c r="V68" s="49"/>
      <c r="W68" s="39"/>
      <c r="X68" s="7"/>
      <c r="Y68" s="7"/>
      <c r="Z68" s="292"/>
      <c r="AA68" s="292"/>
      <c r="AB68" s="290"/>
      <c r="AC68" s="479"/>
    </row>
    <row r="69" spans="1:29" ht="15.6">
      <c r="A69" s="411" t="s">
        <v>475</v>
      </c>
      <c r="B69" s="331"/>
      <c r="C69" s="332"/>
      <c r="D69" s="332"/>
      <c r="E69" s="340"/>
      <c r="F69" s="332"/>
      <c r="G69" s="332"/>
      <c r="H69" s="332"/>
      <c r="I69" s="332"/>
      <c r="J69" s="332"/>
      <c r="K69" s="340"/>
      <c r="L69" s="340"/>
      <c r="M69" s="340"/>
      <c r="N69" s="340"/>
      <c r="O69" s="401"/>
      <c r="P69" s="346"/>
      <c r="Q69" s="379"/>
      <c r="R69" s="379"/>
      <c r="S69" s="379"/>
      <c r="T69" s="379"/>
      <c r="U69" s="379"/>
      <c r="V69" s="49"/>
      <c r="W69" s="39"/>
      <c r="X69" s="7"/>
      <c r="Y69" s="7"/>
      <c r="Z69" s="292"/>
      <c r="AA69" s="292"/>
      <c r="AB69" s="290"/>
      <c r="AC69" s="479"/>
    </row>
    <row r="70" spans="1:29">
      <c r="A70" s="445" t="s">
        <v>476</v>
      </c>
      <c r="B70" s="332">
        <f>IF(AND(OR(B13="1",B13="P"),'New Hire'!C28="Local"),ROUND(B144*B108,0)+ROUND(B145*B109,0),0)+'UAT5-May'!B57</f>
        <v>2616239</v>
      </c>
      <c r="C70" s="332">
        <f>IF(AND(OR(C13="1",C13="P"),'New Hire'!D28="Local"),ROUND(C144*C108,0)+ROUND(C145*C109,0),0)+'UAT5-May'!C57</f>
        <v>1979990</v>
      </c>
      <c r="D70" s="332">
        <f>IF(AND(OR(D13="1",D13="P"),'New Hire'!E28="Local"),ROUND(D144*D108,0)+ROUND(D145*D109,0),0)+'UAT5-May'!D57</f>
        <v>0</v>
      </c>
      <c r="E70" s="332">
        <f>IF(AND(OR(E13="1",E13="P"),'New Hire'!F28="Local"),ROUND(E144*E108,0)+ROUND(E145*E109,0),0)+'UAT5-May'!E57</f>
        <v>766284</v>
      </c>
      <c r="F70" s="332">
        <f>IF(AND(OR(F13="1",F13="P"),'New Hire'!G28="Local"),ROUND(F144*F108,0)+ROUND(F145*F109,0),0)+'UAT5-May'!F57</f>
        <v>0</v>
      </c>
      <c r="G70" s="332">
        <f>IF(AND(OR(G13="1",G13="P"),'New Hire'!H28="Local"),ROUND(G144*G108,0)+ROUND(G145*G109,0),0)+'UAT5-May'!G57</f>
        <v>0</v>
      </c>
      <c r="H70" s="332">
        <f>IF(AND(OR(H13="1",H13="P"),'New Hire'!I28="Local"),ROUND(H144*H108,0)+ROUND(H145*H109,0),0)+'UAT5-May'!H57</f>
        <v>0</v>
      </c>
      <c r="I70" s="332">
        <f>IF(AND(OR(I13="1",I13="P"),'New Hire'!J28="Local"),ROUND(I144*I108,0)+ROUND(I145*I109,0),0)+'UAT5-May'!I57</f>
        <v>0</v>
      </c>
      <c r="J70" s="332">
        <f>IF(AND(OR(J13="1",J13="P"),'New Hire'!K28="Local"),ROUND(J144*J108,0)+ROUND(J145*J109,0),0)+'UAT5-May'!J57</f>
        <v>19055902</v>
      </c>
      <c r="K70" s="332">
        <f>IF(AND(OR(K13="1",K13="P"),'New Hire'!L28="Local"),ROUND(K144*K108,0)+ROUND(K145*K109,0),0)+'UAT5-May'!K57</f>
        <v>4094030</v>
      </c>
      <c r="L70" s="332">
        <f>IF(AND(OR(L13="1",L13="P"),'New Hire'!M28="Local"),ROUND(L144*L108,0)+ROUND(L145*L109,0),0)+'UAT5-May'!L57</f>
        <v>38318360</v>
      </c>
      <c r="M70" s="332">
        <f>IF(AND(OR(M13="1",M13="P"),'New Hire'!N28="Local"),ROUND(M144*M108,0)+ROUND(M145*M109,0),0)+'UAT5-May'!M57</f>
        <v>0</v>
      </c>
      <c r="N70" s="332">
        <f>IF(AND(OR(N13="1",N13="P"),'New Hire'!O28="Local"),ROUND(N144*N108,0)+ROUND(N145*N109,0),0)+'UAT5-May'!N57</f>
        <v>0</v>
      </c>
      <c r="O70" s="332">
        <f>IF(AND(OR(O13="1",O13="P"),'New Hire'!P28="Local"),ROUND(O144*O108,0)+ROUND(O145*O109,0),0)+'UAT5-May'!O57</f>
        <v>988506</v>
      </c>
      <c r="P70" s="346">
        <f>SUM(B70:O70)</f>
        <v>67819311</v>
      </c>
      <c r="Q70" s="379"/>
      <c r="R70" s="379"/>
      <c r="S70" s="379"/>
      <c r="T70" s="379"/>
      <c r="U70" s="379"/>
      <c r="V70" s="49"/>
      <c r="W70" s="39"/>
      <c r="X70" s="7"/>
      <c r="Y70" s="7"/>
      <c r="Z70" s="292"/>
      <c r="AA70" s="292"/>
      <c r="AB70" s="290"/>
      <c r="AC70" s="479"/>
    </row>
    <row r="71" spans="1:29">
      <c r="A71" s="445" t="s">
        <v>484</v>
      </c>
      <c r="B71" s="617">
        <f>'UAT5-May'!B58</f>
        <v>0</v>
      </c>
      <c r="C71" s="617">
        <f>'UAT5-May'!C58</f>
        <v>2.5</v>
      </c>
      <c r="D71" s="617">
        <f>'UAT5-May'!D58</f>
        <v>0</v>
      </c>
      <c r="E71" s="617">
        <f>'UAT5-May'!E58</f>
        <v>0</v>
      </c>
      <c r="F71" s="617">
        <f>'UAT5-May'!F58</f>
        <v>0</v>
      </c>
      <c r="G71" s="617">
        <f>'UAT5-May'!G58</f>
        <v>0</v>
      </c>
      <c r="H71" s="617">
        <f>'UAT5-May'!H58</f>
        <v>5</v>
      </c>
      <c r="I71" s="617">
        <f>'UAT5-May'!I58</f>
        <v>0.5</v>
      </c>
      <c r="J71" s="617">
        <f>'UAT5-May'!J58</f>
        <v>0</v>
      </c>
      <c r="K71" s="617">
        <f>'UAT5-May'!K58</f>
        <v>0</v>
      </c>
      <c r="L71" s="617">
        <f>'UAT5-May'!L58</f>
        <v>0</v>
      </c>
      <c r="M71" s="617">
        <f>'UAT5-May'!M58</f>
        <v>0</v>
      </c>
      <c r="N71" s="617">
        <f>'UAT5-May'!N58</f>
        <v>1.5</v>
      </c>
      <c r="O71" s="619">
        <f>'UAT5-May'!O58</f>
        <v>0</v>
      </c>
      <c r="P71" s="618">
        <f>SUM(B71:O71)</f>
        <v>9.5</v>
      </c>
      <c r="Q71" s="379"/>
      <c r="R71" s="379"/>
      <c r="S71" s="379"/>
      <c r="T71" s="379"/>
      <c r="U71" s="379"/>
      <c r="V71" s="49"/>
      <c r="W71" s="39"/>
      <c r="X71" s="7"/>
      <c r="Y71" s="7"/>
      <c r="Z71" s="292"/>
      <c r="AA71" s="292"/>
      <c r="AB71" s="290"/>
      <c r="AC71" s="479"/>
    </row>
    <row r="72" spans="1:29">
      <c r="A72" s="445" t="s">
        <v>587</v>
      </c>
      <c r="B72" s="332">
        <f>B119+'UAT5-May'!B59</f>
        <v>49200000</v>
      </c>
      <c r="C72" s="332">
        <f>C119+'UAT5-May'!C59</f>
        <v>46370000</v>
      </c>
      <c r="D72" s="332">
        <f>D119+'UAT5-May'!D59</f>
        <v>56683333</v>
      </c>
      <c r="E72" s="332">
        <f>E119+'UAT5-May'!E59</f>
        <v>58533333</v>
      </c>
      <c r="F72" s="332">
        <f>F119+'UAT5-May'!F59</f>
        <v>89600000</v>
      </c>
      <c r="G72" s="332">
        <f>G119+'UAT5-May'!G59</f>
        <v>0</v>
      </c>
      <c r="H72" s="332">
        <f>H119+'UAT5-May'!H59</f>
        <v>751842000</v>
      </c>
      <c r="I72" s="332">
        <f>I119+'UAT5-May'!I59</f>
        <v>535339350</v>
      </c>
      <c r="J72" s="332">
        <f>J119+'UAT5-May'!J59</f>
        <v>396500000</v>
      </c>
      <c r="K72" s="332">
        <f>K119+'UAT5-May'!K59</f>
        <v>66460000</v>
      </c>
      <c r="L72" s="332">
        <f>L119+'UAT5-May'!L59</f>
        <v>461500000</v>
      </c>
      <c r="M72" s="332">
        <f>M119+'UAT5-May'!M59</f>
        <v>47800000</v>
      </c>
      <c r="N72" s="332">
        <f>N119+'UAT5-May'!N59</f>
        <v>54000000</v>
      </c>
      <c r="O72" s="400">
        <f>O119+'UAT5-May'!O59</f>
        <v>12000000</v>
      </c>
      <c r="P72" s="346">
        <f>SUM(B72:O72)</f>
        <v>2625828016</v>
      </c>
      <c r="Q72" s="341"/>
      <c r="R72" s="341"/>
      <c r="S72" s="341"/>
      <c r="T72" s="341"/>
      <c r="U72" s="341"/>
      <c r="V72" s="49"/>
      <c r="W72" s="39"/>
      <c r="X72" s="7"/>
      <c r="Y72" s="7"/>
      <c r="Z72" s="292"/>
      <c r="AA72" s="292"/>
      <c r="AB72" s="290"/>
      <c r="AC72" s="479"/>
    </row>
    <row r="73" spans="1:29">
      <c r="A73" s="445" t="s">
        <v>1207</v>
      </c>
      <c r="B73" s="7">
        <v>8</v>
      </c>
      <c r="C73" s="7"/>
      <c r="D73" s="7"/>
      <c r="E73" s="7">
        <v>7</v>
      </c>
      <c r="F73" s="7"/>
      <c r="G73" s="7"/>
      <c r="H73" s="7"/>
      <c r="I73" s="7"/>
      <c r="J73" s="7">
        <v>8</v>
      </c>
      <c r="K73" s="7"/>
      <c r="L73" s="7"/>
      <c r="M73" s="7">
        <v>30</v>
      </c>
      <c r="N73" s="7">
        <v>4</v>
      </c>
      <c r="O73" s="12"/>
      <c r="P73" s="478">
        <f>SUM(B73:O73)</f>
        <v>57</v>
      </c>
      <c r="Q73" s="341"/>
      <c r="R73" s="341"/>
      <c r="S73" s="341"/>
      <c r="T73" s="341"/>
      <c r="U73" s="341"/>
      <c r="V73" s="33"/>
      <c r="W73" s="45"/>
      <c r="X73" s="13"/>
      <c r="Y73" s="13"/>
      <c r="Z73" s="13"/>
      <c r="AA73" s="13"/>
      <c r="AB73" s="13"/>
      <c r="AC73" s="18"/>
    </row>
    <row r="74" spans="1:29">
      <c r="A74" s="412"/>
      <c r="B74" s="331"/>
      <c r="C74" s="332"/>
      <c r="D74" s="332"/>
      <c r="E74" s="340"/>
      <c r="F74" s="332"/>
      <c r="G74" s="332"/>
      <c r="H74" s="332"/>
      <c r="I74" s="332"/>
      <c r="J74" s="332"/>
      <c r="K74" s="340"/>
      <c r="L74" s="340"/>
      <c r="M74" s="340"/>
      <c r="N74" s="340"/>
      <c r="O74" s="401"/>
      <c r="P74" s="346"/>
      <c r="Q74" s="341"/>
      <c r="R74" s="341"/>
      <c r="S74" s="341"/>
      <c r="T74" s="341"/>
      <c r="U74" s="341"/>
      <c r="V74" s="33"/>
      <c r="W74" s="45"/>
      <c r="X74" s="13"/>
      <c r="Y74" s="13"/>
      <c r="Z74" s="13"/>
      <c r="AA74" s="13"/>
      <c r="AB74" s="13"/>
      <c r="AC74" s="18"/>
    </row>
    <row r="75" spans="1:29" ht="15.6">
      <c r="A75" s="411" t="s">
        <v>889</v>
      </c>
      <c r="B75" s="480"/>
      <c r="C75" s="480"/>
      <c r="D75" s="480"/>
      <c r="E75" s="480"/>
      <c r="F75" s="480"/>
      <c r="G75" s="480"/>
      <c r="H75" s="480"/>
      <c r="I75" s="480"/>
      <c r="J75" s="590"/>
      <c r="K75" s="480"/>
      <c r="L75" s="480"/>
      <c r="M75" s="480"/>
      <c r="N75" s="480"/>
      <c r="O75" s="588"/>
      <c r="P75" s="346"/>
      <c r="Q75" s="379"/>
      <c r="R75" s="379"/>
      <c r="S75" s="379"/>
      <c r="T75" s="379"/>
      <c r="U75" s="379"/>
      <c r="V75" s="33"/>
      <c r="W75" s="45"/>
      <c r="X75" s="13"/>
      <c r="Y75" s="13"/>
      <c r="Z75" s="13"/>
      <c r="AA75" s="13"/>
      <c r="AB75" s="13"/>
      <c r="AC75" s="18"/>
    </row>
    <row r="76" spans="1:29">
      <c r="A76" s="474" t="s">
        <v>885</v>
      </c>
      <c r="B76" s="340">
        <f t="shared" ref="B76:O76" si="24">B99*B132</f>
        <v>3230800</v>
      </c>
      <c r="C76" s="340">
        <f t="shared" si="24"/>
        <v>2575368</v>
      </c>
      <c r="D76" s="340">
        <f t="shared" si="24"/>
        <v>1332705</v>
      </c>
      <c r="E76" s="340">
        <f t="shared" si="24"/>
        <v>5076960</v>
      </c>
      <c r="F76" s="340">
        <f t="shared" si="24"/>
        <v>5907712</v>
      </c>
      <c r="G76" s="340">
        <f t="shared" si="24"/>
        <v>0</v>
      </c>
      <c r="H76" s="340">
        <f t="shared" si="24"/>
        <v>55959788</v>
      </c>
      <c r="I76" s="340">
        <f t="shared" si="24"/>
        <v>0</v>
      </c>
      <c r="J76" s="340">
        <f t="shared" si="24"/>
        <v>13961552</v>
      </c>
      <c r="K76" s="340">
        <f t="shared" si="24"/>
        <v>4615360</v>
      </c>
      <c r="L76" s="340">
        <f t="shared" si="24"/>
        <v>5307680</v>
      </c>
      <c r="M76" s="340">
        <f t="shared" si="24"/>
        <v>3230800</v>
      </c>
      <c r="N76" s="340">
        <f t="shared" si="24"/>
        <v>3000000</v>
      </c>
      <c r="O76" s="340">
        <f t="shared" si="24"/>
        <v>1869210</v>
      </c>
      <c r="P76" s="346">
        <f t="shared" ref="P76:P80" si="25">SUM(B76:O76)-J76</f>
        <v>92106383</v>
      </c>
      <c r="Q76" s="341"/>
      <c r="R76" s="341"/>
      <c r="S76" s="341"/>
      <c r="T76" s="341"/>
      <c r="U76" s="341"/>
      <c r="V76" s="32"/>
      <c r="W76" s="44"/>
      <c r="X76" s="13"/>
      <c r="Y76" s="13"/>
      <c r="Z76" s="13"/>
      <c r="AA76" s="13"/>
      <c r="AB76" s="13"/>
      <c r="AC76" s="18"/>
    </row>
    <row r="77" spans="1:29">
      <c r="A77" s="474" t="s">
        <v>886</v>
      </c>
      <c r="B77" s="340">
        <f t="shared" ref="B77:O77" si="26">B99*B131</f>
        <v>6461600</v>
      </c>
      <c r="C77" s="340">
        <f t="shared" si="26"/>
        <v>5150736</v>
      </c>
      <c r="D77" s="340">
        <f t="shared" si="26"/>
        <v>2665410</v>
      </c>
      <c r="E77" s="340">
        <f t="shared" si="26"/>
        <v>10153920</v>
      </c>
      <c r="F77" s="340">
        <f t="shared" si="26"/>
        <v>11815424</v>
      </c>
      <c r="G77" s="340">
        <f t="shared" si="26"/>
        <v>0</v>
      </c>
      <c r="H77" s="340">
        <f t="shared" si="26"/>
        <v>112655889</v>
      </c>
      <c r="I77" s="340">
        <f t="shared" si="26"/>
        <v>0</v>
      </c>
      <c r="J77" s="340">
        <f t="shared" si="26"/>
        <v>28240412</v>
      </c>
      <c r="K77" s="340">
        <f t="shared" si="26"/>
        <v>9230720</v>
      </c>
      <c r="L77" s="340">
        <f t="shared" si="26"/>
        <v>10615360</v>
      </c>
      <c r="M77" s="340">
        <f t="shared" si="26"/>
        <v>6461600</v>
      </c>
      <c r="N77" s="340">
        <f t="shared" si="26"/>
        <v>6000000</v>
      </c>
      <c r="O77" s="340">
        <f t="shared" si="26"/>
        <v>3703805</v>
      </c>
      <c r="P77" s="346">
        <f t="shared" si="25"/>
        <v>184914464</v>
      </c>
      <c r="Q77" s="341"/>
      <c r="R77" s="341"/>
      <c r="S77" s="341"/>
      <c r="T77" s="341"/>
      <c r="U77" s="341"/>
      <c r="V77" s="34"/>
      <c r="W77" s="46"/>
      <c r="X77" s="35"/>
      <c r="Y77" s="35"/>
      <c r="Z77" s="35"/>
      <c r="AA77" s="35"/>
      <c r="AB77" s="35"/>
      <c r="AC77" s="36"/>
    </row>
    <row r="78" spans="1:29">
      <c r="A78" s="474" t="s">
        <v>928</v>
      </c>
      <c r="B78" s="340" t="e">
        <f>IF(OR(B22="A",B22="B"),ROUND(B162/12,0),ROUND(B162*$B$4/12,0))+'UAT5-May'!B64</f>
        <v>#REF!</v>
      </c>
      <c r="C78" s="340" t="e">
        <f>IF(OR(C22="A",C22="B"),ROUND(C162/12,0),ROUND(C162*$B$4/12,0))+'UAT5-May'!C64</f>
        <v>#REF!</v>
      </c>
      <c r="D78" s="340" t="e">
        <f>IF(OR(D22="A",D22="B"),ROUND(D162/12,0),ROUND(D162*$B$4/12,0))+'UAT5-May'!D64</f>
        <v>#REF!</v>
      </c>
      <c r="E78" s="340" t="e">
        <f>IF(OR(E22="A",E22="B"),ROUND(E162/12,0),ROUND(E162*$B$4/12,0))+'UAT5-May'!E64</f>
        <v>#REF!</v>
      </c>
      <c r="F78" s="340" t="e">
        <f>IF(OR(F22="A",F22="B"),ROUND(F162/12,0),ROUND(F162*$B$4/12,0))+'UAT5-May'!F64</f>
        <v>#REF!</v>
      </c>
      <c r="G78" s="340" t="e">
        <f>IF(OR(G22="A",G22="B"),ROUND(G162/12,0),ROUND(G162*$B$4/12,0))+'UAT5-May'!G64</f>
        <v>#REF!</v>
      </c>
      <c r="H78" s="340" t="e">
        <f>IF(OR(H22="A",H22="B"),ROUND(H162/12,0),ROUND(H162*$B$4/12,0))+'UAT5-May'!H64</f>
        <v>#REF!</v>
      </c>
      <c r="I78" s="340" t="e">
        <f>IF(OR(I22="A",I22="B"),ROUND(I162/12,0),ROUND(I162*$B$4/12,0))+'UAT5-May'!I64</f>
        <v>#REF!</v>
      </c>
      <c r="J78" s="340" t="e">
        <f>IF(OR(J22="A",J22="B"),ROUND(J162/12,0),ROUND(J162*$B$4/12,0))+'UAT5-May'!J64</f>
        <v>#REF!</v>
      </c>
      <c r="K78" s="340" t="e">
        <f>IF(OR(K22="A",K22="B"),ROUND(K162/12,0),ROUND(K162*$B$4/12,0))+'UAT5-May'!K64</f>
        <v>#REF!</v>
      </c>
      <c r="L78" s="340" t="e">
        <f>IF(OR(L22="A",L22="B"),ROUND(L162/12,0),ROUND(L162*$B$4/12,0))+'UAT5-May'!L64</f>
        <v>#REF!</v>
      </c>
      <c r="M78" s="340" t="e">
        <f>IF(OR(M22="A",M22="B"),ROUND(M162/12,0),ROUND(M162*$B$4/12,0))+'UAT5-May'!M64</f>
        <v>#REF!</v>
      </c>
      <c r="N78" s="340" t="e">
        <f>IF(OR(N22="A",N22="B"),ROUND(N162/12,0),ROUND(N162*$B$4/12,0))+'UAT5-May'!N64</f>
        <v>#REF!</v>
      </c>
      <c r="O78" s="401" t="e">
        <f>IF(OR(O22="A",O22="B"),ROUND(O162/12,0),ROUND(O162*$B$4/12,0))+'UAT5-May'!O64</f>
        <v>#REF!</v>
      </c>
      <c r="P78" s="346" t="e">
        <f t="shared" si="25"/>
        <v>#REF!</v>
      </c>
      <c r="Q78" s="341"/>
      <c r="R78" s="341"/>
      <c r="S78" s="341"/>
      <c r="T78" s="341"/>
      <c r="U78" s="341"/>
      <c r="V78"/>
      <c r="W78"/>
      <c r="X78"/>
      <c r="Y78"/>
      <c r="Z78"/>
      <c r="AA78"/>
      <c r="AB78"/>
      <c r="AC78"/>
    </row>
    <row r="79" spans="1:29">
      <c r="A79" s="474" t="s">
        <v>887</v>
      </c>
      <c r="B79" s="340"/>
      <c r="C79" s="340">
        <f>ROUND((C144+C154+C155)/12*AB37*C16/261,0)+ROUND((C145+C154+C155)/12*AB37*C17/261,0)</f>
        <v>3009</v>
      </c>
      <c r="D79" s="340"/>
      <c r="E79" s="340"/>
      <c r="F79" s="340"/>
      <c r="G79" s="340"/>
      <c r="H79" s="340">
        <f>ROUND((H144*B4+H154+H155)/12*AB38*H16/261,0)+ROUND((H145*B4+H154+H155)/12*AB38*H17/261,0)</f>
        <v>456395</v>
      </c>
      <c r="I79" s="340"/>
      <c r="J79" s="453"/>
      <c r="K79" s="340"/>
      <c r="L79" s="340"/>
      <c r="M79" s="340"/>
      <c r="N79" s="340"/>
      <c r="O79" s="401"/>
      <c r="P79" s="346">
        <f t="shared" si="25"/>
        <v>459404</v>
      </c>
      <c r="Q79" s="379"/>
      <c r="R79" s="379"/>
      <c r="S79" s="379"/>
      <c r="T79" s="379"/>
      <c r="U79" s="379"/>
      <c r="V79"/>
      <c r="W79"/>
      <c r="X79"/>
      <c r="Y79"/>
      <c r="Z79"/>
      <c r="AA79"/>
      <c r="AB79"/>
      <c r="AC79"/>
    </row>
    <row r="80" spans="1:29">
      <c r="A80" s="474" t="s">
        <v>888</v>
      </c>
      <c r="B80" s="340">
        <f t="shared" ref="B80:O80" si="27">IF(OR(B22="A",B22="B"),ROUND(B71*B145*50%,0),ROUND(B71*B145*$B$4*50%,0))</f>
        <v>0</v>
      </c>
      <c r="C80" s="340">
        <f t="shared" si="27"/>
        <v>7750000</v>
      </c>
      <c r="D80" s="340">
        <f t="shared" si="27"/>
        <v>0</v>
      </c>
      <c r="E80" s="340">
        <f t="shared" si="27"/>
        <v>0</v>
      </c>
      <c r="F80" s="340">
        <f t="shared" si="27"/>
        <v>0</v>
      </c>
      <c r="G80" s="340">
        <f t="shared" si="27"/>
        <v>0</v>
      </c>
      <c r="H80" s="340">
        <f t="shared" si="27"/>
        <v>319068750</v>
      </c>
      <c r="I80" s="340">
        <f t="shared" si="27"/>
        <v>24365250</v>
      </c>
      <c r="J80" s="340">
        <f t="shared" si="27"/>
        <v>0</v>
      </c>
      <c r="K80" s="340">
        <f t="shared" si="27"/>
        <v>0</v>
      </c>
      <c r="L80" s="340">
        <f t="shared" si="27"/>
        <v>0</v>
      </c>
      <c r="M80" s="340">
        <f t="shared" si="27"/>
        <v>0</v>
      </c>
      <c r="N80" s="340">
        <f t="shared" si="27"/>
        <v>4875000</v>
      </c>
      <c r="O80" s="401">
        <f t="shared" si="27"/>
        <v>0</v>
      </c>
      <c r="P80" s="346">
        <f t="shared" si="25"/>
        <v>356059000</v>
      </c>
      <c r="Q80" s="341"/>
      <c r="R80" s="341"/>
      <c r="S80" s="341"/>
      <c r="T80" s="341"/>
      <c r="U80" s="341"/>
      <c r="V80"/>
      <c r="W80"/>
      <c r="X80"/>
      <c r="Y80"/>
      <c r="Z80"/>
      <c r="AA80"/>
      <c r="AB80"/>
      <c r="AC80"/>
    </row>
    <row r="81" spans="1:29">
      <c r="A81" s="474"/>
      <c r="B81" s="480"/>
      <c r="C81" s="480"/>
      <c r="D81" s="480"/>
      <c r="E81" s="480"/>
      <c r="F81" s="480"/>
      <c r="G81" s="480"/>
      <c r="H81" s="480"/>
      <c r="I81" s="480"/>
      <c r="J81" s="590"/>
      <c r="K81" s="480"/>
      <c r="L81" s="480"/>
      <c r="M81" s="480"/>
      <c r="N81" s="480"/>
      <c r="O81" s="588"/>
      <c r="P81" s="346"/>
      <c r="Q81" s="341"/>
      <c r="R81" s="341"/>
      <c r="S81" s="341"/>
      <c r="T81" s="341"/>
      <c r="U81" s="341"/>
      <c r="V81"/>
      <c r="W81"/>
      <c r="X81"/>
      <c r="Y81"/>
      <c r="Z81"/>
      <c r="AA81"/>
      <c r="AB81"/>
      <c r="AC81"/>
    </row>
    <row r="82" spans="1:29" ht="15.6">
      <c r="A82" s="411" t="s">
        <v>704</v>
      </c>
      <c r="B82" s="331"/>
      <c r="C82" s="332"/>
      <c r="D82" s="332"/>
      <c r="E82" s="340"/>
      <c r="F82" s="332"/>
      <c r="G82" s="332"/>
      <c r="H82" s="332"/>
      <c r="I82" s="332"/>
      <c r="J82" s="332"/>
      <c r="K82" s="340"/>
      <c r="L82" s="340"/>
      <c r="M82" s="340"/>
      <c r="N82" s="340"/>
      <c r="O82" s="401"/>
      <c r="P82" s="346"/>
      <c r="Q82" s="341"/>
      <c r="R82" s="341"/>
      <c r="S82" s="341"/>
      <c r="T82" s="341"/>
      <c r="U82" s="341"/>
      <c r="V82"/>
      <c r="W82"/>
      <c r="X82"/>
      <c r="Y82"/>
      <c r="Z82"/>
      <c r="AA82"/>
      <c r="AB82"/>
      <c r="AC82"/>
    </row>
    <row r="83" spans="1:29">
      <c r="A83" s="501" t="s">
        <v>1160</v>
      </c>
      <c r="B83" s="502">
        <f>ROUND('UAT5-May'!B69*AD57,0)</f>
        <v>28846</v>
      </c>
      <c r="C83" s="502"/>
      <c r="D83" s="502"/>
      <c r="E83" s="502">
        <f>ROUND('UAT5-May'!E69*AD47*100%,0)+ROUND('UAT5-May'!E69*AE47*100%,0)</f>
        <v>207693</v>
      </c>
      <c r="F83" s="502"/>
      <c r="G83" s="502"/>
      <c r="H83" s="502"/>
      <c r="I83" s="502"/>
      <c r="J83" s="502"/>
      <c r="K83" s="502"/>
      <c r="L83" s="502"/>
      <c r="M83" s="502">
        <f>ROUND('UAT5-May'!M69*AD48*100%,0)+ROUND('UAT5-May'!M69*AE48*100%,0)+ROUND('UAT5-May'!M69*AD49*100%,0)+ROUND('UAT5-May'!M69*AD50*100%,0)+ROUND('UAT5-May'!M69*AD51*100%,0)+ROUND('UAT5-May'!M69*AD52*100%,0)+ROUND('UAT5-May'!M69*AD53*100%,0)+ROUND('UAT5-May'!M69*AD54*100%,0)</f>
        <v>865380</v>
      </c>
      <c r="N83" s="502">
        <f>ROUND('UAT5-May'!N69*AD55*100%,0)+ROUND('UAT5-May'!N69*AE55*100%,0)</f>
        <v>150000</v>
      </c>
      <c r="O83" s="503"/>
      <c r="P83" s="504">
        <f t="shared" ref="P83:P95" si="28">SUM(B83:O83)</f>
        <v>1251919</v>
      </c>
      <c r="Q83" s="519" t="s">
        <v>597</v>
      </c>
      <c r="R83" s="519" t="s">
        <v>597</v>
      </c>
      <c r="S83" s="520"/>
      <c r="T83" s="521"/>
      <c r="U83" s="521"/>
      <c r="V83"/>
      <c r="W83"/>
      <c r="X83"/>
      <c r="Y83"/>
      <c r="Z83"/>
      <c r="AA83"/>
      <c r="AB83"/>
      <c r="AC83"/>
    </row>
    <row r="84" spans="1:29">
      <c r="A84" s="505" t="s">
        <v>701</v>
      </c>
      <c r="B84" s="502"/>
      <c r="C84" s="502"/>
      <c r="D84" s="502"/>
      <c r="E84" s="502">
        <f>ROUND('UAT5-May'!E69*AD46*100%,0)+ROUND('UAT5-May'!E69*AE46*100%,0)</f>
        <v>155769</v>
      </c>
      <c r="F84" s="502"/>
      <c r="G84" s="502"/>
      <c r="H84" s="502"/>
      <c r="I84" s="502"/>
      <c r="J84" s="502"/>
      <c r="K84" s="502"/>
      <c r="L84" s="502"/>
      <c r="M84" s="502"/>
      <c r="N84" s="502"/>
      <c r="O84" s="503"/>
      <c r="P84" s="504">
        <f t="shared" si="28"/>
        <v>155769</v>
      </c>
      <c r="Q84" s="519" t="s">
        <v>597</v>
      </c>
      <c r="R84" s="519" t="s">
        <v>597</v>
      </c>
      <c r="S84" s="520"/>
      <c r="T84" s="521"/>
      <c r="U84" s="521"/>
      <c r="V84"/>
      <c r="W84"/>
      <c r="X84"/>
      <c r="Y84"/>
      <c r="Z84"/>
      <c r="AA84"/>
      <c r="AB84"/>
      <c r="AC84"/>
    </row>
    <row r="85" spans="1:29">
      <c r="A85" s="505" t="s">
        <v>745</v>
      </c>
      <c r="B85" s="502">
        <f>ROUND('UAT5-May'!B69*AD57*50%,0)</f>
        <v>14423</v>
      </c>
      <c r="C85" s="502"/>
      <c r="D85" s="502"/>
      <c r="E85" s="502">
        <f>ROUND('UAT5-May'!E69*AD47*50%,0)</f>
        <v>64904</v>
      </c>
      <c r="F85" s="502"/>
      <c r="G85" s="502"/>
      <c r="H85" s="502"/>
      <c r="I85" s="502"/>
      <c r="J85" s="502"/>
      <c r="K85" s="502"/>
      <c r="L85" s="502"/>
      <c r="M85" s="502">
        <f>ROUND('UAT5-May'!M69*AD49*50%,0)+ROUND('UAT5-May'!M69*AD50*50%,0)+ROUND('UAT5-May'!M69*AD51*50%,0)+ROUND('UAT5-May'!M69*AD52*50%,0)+ROUND('UAT5-May'!M69*AD53*50%,0)+ROUND('UAT5-May'!M69*AD54*50%,0)</f>
        <v>259615</v>
      </c>
      <c r="N85" s="502">
        <f>ROUND('UAT5-May'!N69*AD55*50%,0)</f>
        <v>56250</v>
      </c>
      <c r="O85" s="503"/>
      <c r="P85" s="504">
        <f t="shared" si="28"/>
        <v>395192</v>
      </c>
      <c r="Q85" s="519" t="s">
        <v>597</v>
      </c>
      <c r="R85" s="519"/>
      <c r="S85" s="520"/>
      <c r="T85" s="521"/>
      <c r="U85" s="521"/>
    </row>
    <row r="86" spans="1:29">
      <c r="A86" s="506" t="s">
        <v>746</v>
      </c>
      <c r="B86" s="502"/>
      <c r="C86" s="502"/>
      <c r="D86" s="502"/>
      <c r="E86" s="502">
        <f>ROUND('UAT5-May'!E69*AE47*95%,0)</f>
        <v>73990</v>
      </c>
      <c r="F86" s="502"/>
      <c r="G86" s="502"/>
      <c r="H86" s="502"/>
      <c r="I86" s="502"/>
      <c r="J86" s="502"/>
      <c r="K86" s="502"/>
      <c r="L86" s="502"/>
      <c r="M86" s="502"/>
      <c r="N86" s="502">
        <f>ROUND('UAT5-May'!N69*AE55*95%,0)</f>
        <v>35625</v>
      </c>
      <c r="O86" s="503"/>
      <c r="P86" s="504">
        <f t="shared" si="28"/>
        <v>109615</v>
      </c>
      <c r="Q86" s="519" t="s">
        <v>597</v>
      </c>
      <c r="R86" s="519"/>
      <c r="S86" s="522"/>
      <c r="T86" s="522"/>
      <c r="U86" s="522"/>
    </row>
    <row r="87" spans="1:29">
      <c r="A87" s="527" t="s">
        <v>747</v>
      </c>
      <c r="B87" s="502"/>
      <c r="C87" s="502"/>
      <c r="D87" s="502"/>
      <c r="E87" s="502"/>
      <c r="F87" s="502"/>
      <c r="G87" s="502"/>
      <c r="H87" s="502"/>
      <c r="I87" s="502"/>
      <c r="J87" s="502"/>
      <c r="K87" s="502"/>
      <c r="L87" s="502"/>
      <c r="M87" s="502">
        <f>ROUND('UAT5-May'!M69*AD48*100%,0)</f>
        <v>317306</v>
      </c>
      <c r="N87" s="502"/>
      <c r="O87" s="503"/>
      <c r="P87" s="504">
        <f t="shared" si="28"/>
        <v>317306</v>
      </c>
      <c r="Q87" s="519" t="s">
        <v>597</v>
      </c>
      <c r="R87" s="519"/>
      <c r="S87" s="522"/>
      <c r="T87" s="522"/>
      <c r="U87" s="522"/>
    </row>
    <row r="88" spans="1:29">
      <c r="A88" s="505" t="s">
        <v>711</v>
      </c>
      <c r="B88" s="502"/>
      <c r="C88" s="502"/>
      <c r="D88" s="502"/>
      <c r="E88" s="502"/>
      <c r="F88" s="502"/>
      <c r="G88" s="502"/>
      <c r="H88" s="502"/>
      <c r="I88" s="502"/>
      <c r="J88" s="502"/>
      <c r="K88" s="502"/>
      <c r="L88" s="502"/>
      <c r="M88" s="502">
        <f>ROUND('UAT5-May'!M69*AE48*160%,0)</f>
        <v>46154</v>
      </c>
      <c r="N88" s="502"/>
      <c r="O88" s="503"/>
      <c r="P88" s="504">
        <f t="shared" si="28"/>
        <v>46154</v>
      </c>
      <c r="Q88" s="519" t="s">
        <v>597</v>
      </c>
      <c r="R88" s="519"/>
      <c r="S88" s="521"/>
      <c r="T88" s="521"/>
      <c r="U88" s="521"/>
    </row>
    <row r="89" spans="1:29">
      <c r="A89" s="505" t="s">
        <v>702</v>
      </c>
      <c r="B89" s="502"/>
      <c r="C89" s="502"/>
      <c r="D89" s="502"/>
      <c r="E89" s="502">
        <f>ROUND('UAT5-May'!E69*AD46*200%,0)</f>
        <v>103846</v>
      </c>
      <c r="F89" s="502"/>
      <c r="G89" s="502"/>
      <c r="H89" s="502"/>
      <c r="I89" s="502"/>
      <c r="J89" s="502"/>
      <c r="K89" s="502"/>
      <c r="L89" s="502"/>
      <c r="M89" s="502"/>
      <c r="N89" s="502"/>
      <c r="O89" s="503"/>
      <c r="P89" s="504">
        <f t="shared" si="28"/>
        <v>103846</v>
      </c>
      <c r="Q89" s="519" t="s">
        <v>597</v>
      </c>
      <c r="R89" s="519"/>
      <c r="S89" s="520"/>
      <c r="T89" s="521"/>
      <c r="U89" s="521"/>
    </row>
    <row r="90" spans="1:29">
      <c r="A90" s="506" t="s">
        <v>705</v>
      </c>
      <c r="B90" s="502"/>
      <c r="C90" s="502"/>
      <c r="D90" s="502"/>
      <c r="E90" s="502">
        <f>ROUND('UAT5-May'!E69*AE46*290%,0)</f>
        <v>301153</v>
      </c>
      <c r="F90" s="502"/>
      <c r="G90" s="502"/>
      <c r="H90" s="502"/>
      <c r="I90" s="502"/>
      <c r="J90" s="502"/>
      <c r="K90" s="502"/>
      <c r="L90" s="502"/>
      <c r="M90" s="502"/>
      <c r="N90" s="502"/>
      <c r="O90" s="503"/>
      <c r="P90" s="504">
        <f t="shared" si="28"/>
        <v>301153</v>
      </c>
      <c r="Q90" s="519" t="s">
        <v>597</v>
      </c>
      <c r="R90" s="519"/>
      <c r="S90" s="522"/>
      <c r="T90" s="522"/>
      <c r="U90" s="522"/>
    </row>
    <row r="91" spans="1:29">
      <c r="A91" s="506" t="s">
        <v>715</v>
      </c>
      <c r="B91" s="507"/>
      <c r="C91" s="507"/>
      <c r="D91" s="507"/>
      <c r="E91" s="507"/>
      <c r="F91" s="507"/>
      <c r="G91" s="507"/>
      <c r="H91" s="507"/>
      <c r="I91" s="507"/>
      <c r="J91" s="507">
        <f>(AD59+AD60)*100%</f>
        <v>8</v>
      </c>
      <c r="K91" s="507"/>
      <c r="L91" s="507"/>
      <c r="M91" s="507"/>
      <c r="N91" s="507"/>
      <c r="O91" s="508"/>
      <c r="P91" s="509">
        <f t="shared" si="28"/>
        <v>8</v>
      </c>
      <c r="Q91" s="519"/>
      <c r="R91" s="519"/>
      <c r="S91" s="522"/>
      <c r="T91" s="522"/>
      <c r="U91" s="522"/>
    </row>
    <row r="92" spans="1:29">
      <c r="A92" s="506" t="s">
        <v>716</v>
      </c>
      <c r="B92" s="507">
        <f>ROUND(AD58*150%,2)</f>
        <v>2.25</v>
      </c>
      <c r="C92" s="507"/>
      <c r="D92" s="507"/>
      <c r="E92" s="507"/>
      <c r="F92" s="507"/>
      <c r="G92" s="507"/>
      <c r="H92" s="507"/>
      <c r="I92" s="507"/>
      <c r="J92" s="507"/>
      <c r="K92" s="507"/>
      <c r="L92" s="507"/>
      <c r="M92" s="507"/>
      <c r="N92" s="507"/>
      <c r="O92" s="508"/>
      <c r="P92" s="509">
        <f t="shared" si="28"/>
        <v>2.25</v>
      </c>
      <c r="Q92" s="519"/>
      <c r="R92" s="519"/>
      <c r="S92" s="522"/>
      <c r="T92" s="522"/>
      <c r="U92" s="522"/>
    </row>
    <row r="93" spans="1:29">
      <c r="A93" s="506" t="s">
        <v>717</v>
      </c>
      <c r="B93" s="507">
        <f>ROUND(AE58*195%,2)</f>
        <v>2.93</v>
      </c>
      <c r="C93" s="507"/>
      <c r="D93" s="507"/>
      <c r="E93" s="507"/>
      <c r="F93" s="507"/>
      <c r="G93" s="507"/>
      <c r="H93" s="507"/>
      <c r="I93" s="507"/>
      <c r="J93" s="507"/>
      <c r="K93" s="507"/>
      <c r="L93" s="507"/>
      <c r="M93" s="507"/>
      <c r="N93" s="507"/>
      <c r="O93" s="508"/>
      <c r="P93" s="509">
        <f t="shared" si="28"/>
        <v>2.93</v>
      </c>
      <c r="Q93" s="519"/>
      <c r="R93" s="519"/>
      <c r="S93" s="522"/>
      <c r="T93" s="522"/>
      <c r="U93" s="522"/>
    </row>
    <row r="94" spans="1:29">
      <c r="A94" s="506" t="s">
        <v>718</v>
      </c>
      <c r="B94" s="507">
        <f>ROUND(AD56*200%,2)</f>
        <v>5</v>
      </c>
      <c r="C94" s="507"/>
      <c r="D94" s="507"/>
      <c r="E94" s="507"/>
      <c r="F94" s="507"/>
      <c r="G94" s="507"/>
      <c r="H94" s="507"/>
      <c r="I94" s="507"/>
      <c r="J94" s="507"/>
      <c r="K94" s="507"/>
      <c r="L94" s="507"/>
      <c r="M94" s="507"/>
      <c r="N94" s="507"/>
      <c r="O94" s="508"/>
      <c r="P94" s="509">
        <f t="shared" si="28"/>
        <v>5</v>
      </c>
      <c r="Q94" s="519"/>
      <c r="R94" s="519"/>
      <c r="S94" s="522"/>
      <c r="T94" s="522"/>
      <c r="U94" s="522"/>
    </row>
    <row r="95" spans="1:29">
      <c r="A95" s="506" t="s">
        <v>719</v>
      </c>
      <c r="B95" s="507">
        <f>ROUND(AE56*260%,2)</f>
        <v>3.9</v>
      </c>
      <c r="C95" s="507"/>
      <c r="D95" s="507"/>
      <c r="E95" s="507"/>
      <c r="F95" s="507"/>
      <c r="G95" s="507"/>
      <c r="H95" s="507"/>
      <c r="I95" s="507"/>
      <c r="J95" s="507"/>
      <c r="K95" s="507"/>
      <c r="L95" s="507"/>
      <c r="M95" s="507"/>
      <c r="N95" s="507"/>
      <c r="O95" s="508"/>
      <c r="P95" s="509">
        <f t="shared" si="28"/>
        <v>3.9</v>
      </c>
      <c r="Q95" s="519"/>
      <c r="R95" s="519"/>
      <c r="S95" s="522"/>
      <c r="T95" s="522"/>
      <c r="U95" s="522"/>
    </row>
    <row r="96" spans="1:29">
      <c r="A96" s="412"/>
      <c r="B96" s="331"/>
      <c r="C96" s="332"/>
      <c r="D96" s="332"/>
      <c r="E96" s="340"/>
      <c r="F96" s="332"/>
      <c r="G96" s="332"/>
      <c r="H96" s="332"/>
      <c r="I96" s="332"/>
      <c r="J96" s="332"/>
      <c r="K96" s="340"/>
      <c r="L96" s="340"/>
      <c r="M96" s="340"/>
      <c r="N96" s="340"/>
      <c r="O96" s="401"/>
      <c r="P96" s="346"/>
      <c r="Q96" s="341"/>
      <c r="R96" s="482"/>
      <c r="S96" s="341"/>
      <c r="T96" s="341"/>
      <c r="U96" s="341"/>
    </row>
    <row r="97" spans="1:21" ht="15.6">
      <c r="A97" s="411" t="s">
        <v>485</v>
      </c>
      <c r="B97" s="331"/>
      <c r="C97" s="332"/>
      <c r="D97" s="332"/>
      <c r="E97" s="340"/>
      <c r="F97" s="332"/>
      <c r="G97" s="332"/>
      <c r="H97" s="332"/>
      <c r="I97" s="332"/>
      <c r="J97" s="332"/>
      <c r="K97" s="340"/>
      <c r="L97" s="340"/>
      <c r="M97" s="340"/>
      <c r="N97" s="340"/>
      <c r="O97" s="401"/>
      <c r="P97" s="346"/>
      <c r="Q97" s="341"/>
      <c r="R97" s="482"/>
      <c r="S97" s="341"/>
      <c r="T97" s="341"/>
      <c r="U97" s="341"/>
    </row>
    <row r="98" spans="1:21">
      <c r="A98" s="445" t="s">
        <v>490</v>
      </c>
      <c r="B98" s="332">
        <f>IF(OR(B22="A",B22="B"),IF(B13&lt;&gt;"C",ROUND(B144*12/52/40,0),B144),IF(B13&lt;&gt;"C",ROUND(B144*$B$4*12/52/40,0),B144*$B$4))</f>
        <v>28846</v>
      </c>
      <c r="C98" s="332">
        <f>IF(OR(C22="A",C22="B"),IF(C13&lt;&gt;"C",ROUND(C144*12/52/40,0),C144),IF(C13&lt;&gt;"C",ROUND(C144*$B$4*12/52/40,0),C144*$B$4))</f>
        <v>25962</v>
      </c>
      <c r="D98" s="332">
        <f>IF(OR(D22="A",D22="B"),IF(D13&lt;&gt;"C",ROUND(D144*12/52/40,0),D144),IF(D13&lt;&gt;"C",ROUND(D144*$B$4*12/52/40,0),D144*$B$4))</f>
        <v>40385</v>
      </c>
      <c r="E98" s="332">
        <f>IF(OR(E22="A",E22="B"),IF(E13&lt;&gt;"C",ROUND(E144*12/52/40,0),E144),IF(E13&lt;&gt;"C",ROUND(E144*$B$4*12/52/40,0),E144*$B$4))</f>
        <v>51923</v>
      </c>
      <c r="F98" s="332">
        <f>IF(OR(F22="A",F22="B"),IF(F13&lt;&gt;"C",ROUND(F144*12/52/40,0),F144),IF(F13&lt;&gt;"C",ROUND(F144*$B$4*12/52/40,0),F144*$B$4))</f>
        <v>80769</v>
      </c>
      <c r="G98" s="332">
        <f>IF(OR(G22="A",G22="B"),IF(G13&lt;&gt;"C",ROUND(G146*12/52/40,0),G146),IF(G13&lt;&gt;"C",ROUND(G146*$B$4*12/52/40,0),G146*$B$4))</f>
        <v>4641000</v>
      </c>
      <c r="H98" s="332">
        <f t="shared" ref="H98:O98" si="29">IF(OR(H22="A",H22="B"),IF(H13&lt;&gt;"C",ROUND(H144*12/52/40,0),H144),IF(H13&lt;&gt;"C",ROUND(H144*$B$4*12/52/40,0),H144*$B$4))</f>
        <v>669375</v>
      </c>
      <c r="I98" s="332">
        <f t="shared" si="29"/>
        <v>535500</v>
      </c>
      <c r="J98" s="332">
        <f t="shared" si="29"/>
        <v>288462</v>
      </c>
      <c r="K98" s="332">
        <f t="shared" si="29"/>
        <v>46154</v>
      </c>
      <c r="L98" s="332">
        <f t="shared" si="29"/>
        <v>519231</v>
      </c>
      <c r="M98" s="332">
        <f t="shared" si="29"/>
        <v>28846</v>
      </c>
      <c r="N98" s="332">
        <f t="shared" si="29"/>
        <v>37500</v>
      </c>
      <c r="O98" s="400">
        <f t="shared" si="29"/>
        <v>34615</v>
      </c>
      <c r="P98" s="346">
        <f t="shared" ref="P98:P112" si="30">SUM(B98:O98)</f>
        <v>7028568</v>
      </c>
      <c r="Q98" s="347"/>
      <c r="R98" s="482"/>
      <c r="S98" s="341"/>
      <c r="T98" s="341"/>
      <c r="U98" s="341"/>
    </row>
    <row r="99" spans="1:21">
      <c r="A99" s="491" t="s">
        <v>728</v>
      </c>
      <c r="B99" s="360">
        <f>IF(OR(B22="A",B22="B"),IF(B13&lt;&gt;"C",ROUND(B145*12/52/40,0),B145),IF(B13&lt;&gt;"C",ROUND(B145*$B$4*12/52/40,0),B145*$B$4))</f>
        <v>40385</v>
      </c>
      <c r="C99" s="360">
        <f>IF(OR(C22="A",C22="B"),IF(C13&lt;&gt;"C",ROUND(C145*12/52/40,0),C145),IF(C13&lt;&gt;"C",ROUND(C145*$B$4*12/52/40,0),C145*$B$4))</f>
        <v>35769</v>
      </c>
      <c r="D99" s="360">
        <f>IF(OR(D22="A",D22="B"),IF(D13&lt;&gt;"C",ROUND(D145*12/52/40,0),D145),IF(D13&lt;&gt;"C",ROUND(D145*$B$4*12/52/40,0),D145*$B$4))</f>
        <v>40385</v>
      </c>
      <c r="E99" s="360">
        <f>IF(OR(E22="A",E22="B"),IF(E13&lt;&gt;"C",ROUND(E145*12/52/40,0),E145),IF(E13&lt;&gt;"C",ROUND(E145*$B$4*12/52/40,0),E145*$B$4))</f>
        <v>63462</v>
      </c>
      <c r="F99" s="360">
        <f>IF(OR(F22="A",F22="B"),IF(F13&lt;&gt;"C",ROUND(F145*12/52/40,0),F145),IF(F13&lt;&gt;"C",ROUND(F145*$B$4*12/52/40,0),F145*$B$4))</f>
        <v>92308</v>
      </c>
      <c r="G99" s="360">
        <f>IF(OR(G22="A",G22="B"),IF(G13&lt;&gt;"C",ROUND(G147*12/52/40,0),G147),IF(G13&lt;&gt;"C",ROUND(G147*$B$4*12/52/40,0),G147*$B$4))</f>
        <v>5801250</v>
      </c>
      <c r="H99" s="360">
        <f t="shared" ref="H99:O99" si="31">IF(OR(H22="A",H22="B"),IF(H13&lt;&gt;"C",ROUND(H145*12/52/40,0),H145),IF(H13&lt;&gt;"C",ROUND(H145*$B$4*12/52/40,0),H145*$B$4))</f>
        <v>736313</v>
      </c>
      <c r="I99" s="360">
        <f t="shared" si="31"/>
        <v>562275</v>
      </c>
      <c r="J99" s="360">
        <f t="shared" si="31"/>
        <v>317308</v>
      </c>
      <c r="K99" s="360">
        <f t="shared" si="31"/>
        <v>57692</v>
      </c>
      <c r="L99" s="360">
        <f t="shared" si="31"/>
        <v>66346</v>
      </c>
      <c r="M99" s="360">
        <f t="shared" si="31"/>
        <v>40385</v>
      </c>
      <c r="N99" s="360">
        <f t="shared" si="31"/>
        <v>37500</v>
      </c>
      <c r="O99" s="497">
        <f t="shared" si="31"/>
        <v>34615</v>
      </c>
      <c r="P99" s="498">
        <f t="shared" si="30"/>
        <v>7925993</v>
      </c>
      <c r="Q99" s="347"/>
      <c r="R99" s="482"/>
      <c r="S99" s="341"/>
      <c r="T99" s="341"/>
      <c r="U99" s="341"/>
    </row>
    <row r="100" spans="1:21">
      <c r="A100" s="445" t="s">
        <v>501</v>
      </c>
      <c r="B100" s="332">
        <f>IF(OR(B22="A",B22="B"),ROUND(SUM(B144,B148,B150,B153)*12/52/5*B15%,0),ROUND(SUM(B144,B148,B150,B153)*12/52/5*$B$4*B15%,0))</f>
        <v>300000</v>
      </c>
      <c r="C100" s="332">
        <f>IF(OR(C22="A",C22="B"),ROUND(SUM(C144,C148,C150,C153)*12/52/5*C15%,0),ROUND(SUM(C144,C148,C150,C153)*12/52/5*$B$4*C15%,0))</f>
        <v>135000</v>
      </c>
      <c r="D100" s="332">
        <f>IF(OR(D22="A",D22="B"),ROUND(SUM(D144,D148,D150,D153)*12/52/5*D15%,0),ROUND(SUM(D144,D148,D150,D153)*12/52/5*$B$4*D15%,0))</f>
        <v>420000</v>
      </c>
      <c r="E100" s="332">
        <f>IF(OR(E22="A",E22="B"),ROUND(SUM(E144,E148,E150,E153)*12/52/5*E15%,0),ROUND(SUM(E144,E148,E150,E153)*12/52/5*$B$4*E15%,0))</f>
        <v>415385</v>
      </c>
      <c r="F100" s="332">
        <f>IF(OR(F22="A",F22="B"),ROUND(SUM(F144,F148,F150,F153)*12/52/5*F15%,0),ROUND(SUM(F144,F148,F150,F153)*12/52/5*$B$4*F15%,0))</f>
        <v>646154</v>
      </c>
      <c r="G100" s="332">
        <f>IF(OR(G22="A",G22="B"),ROUND(SUM(G146,G148,G150,G153)*12/52/5*G15%,0),ROUND(SUM(G146,G148,G150,G153)*12/52/5*$B$4*G15%,0))</f>
        <v>214200</v>
      </c>
      <c r="H100" s="332">
        <f t="shared" ref="H100:O100" si="32">IF(OR(H22="A",H22="B"),ROUND(SUM(H144,H148,H150,H153)*12/52/5*H15%,0),ROUND(SUM(H144,H148,H150,H153)*12/52/5*$B$4*H15%,0))</f>
        <v>3480750</v>
      </c>
      <c r="I100" s="332">
        <f t="shared" si="32"/>
        <v>4284000</v>
      </c>
      <c r="J100" s="332">
        <f t="shared" si="32"/>
        <v>1500000</v>
      </c>
      <c r="K100" s="332">
        <f t="shared" si="32"/>
        <v>480000</v>
      </c>
      <c r="L100" s="332">
        <f t="shared" si="32"/>
        <v>4153846</v>
      </c>
      <c r="M100" s="332">
        <f t="shared" si="32"/>
        <v>346154</v>
      </c>
      <c r="N100" s="332">
        <f t="shared" si="32"/>
        <v>415385</v>
      </c>
      <c r="O100" s="400">
        <f t="shared" si="32"/>
        <v>276923</v>
      </c>
      <c r="P100" s="346">
        <f t="shared" si="30"/>
        <v>17067797</v>
      </c>
      <c r="Q100" s="347"/>
      <c r="R100" s="341"/>
      <c r="S100" s="341"/>
      <c r="T100" s="341"/>
      <c r="U100" s="341"/>
    </row>
    <row r="101" spans="1:21">
      <c r="A101" s="491" t="s">
        <v>727</v>
      </c>
      <c r="B101" s="360">
        <f>IF(OR(B22="A",B22="B"),ROUND(SUM(B145,B149,B151,B153)*12/52/5*B15%,0),ROUND(SUM(B145,B149,B151,B153)*12/52/5*$B$4*B15%,0))</f>
        <v>420000</v>
      </c>
      <c r="C101" s="360">
        <f>IF(OR(C22="A",C22="B"),ROUND(SUM(C145,C149,C151,C153)*12/52/5*C15%,0),ROUND(SUM(C145,C149,C151,C153)*12/52/5*$B$4*C15%,0))</f>
        <v>186000</v>
      </c>
      <c r="D101" s="360">
        <f>IF(OR(D22="A",D22="B"),ROUND(SUM(D145,D149,D151,D153)*12/52/5*D15%,0),ROUND(SUM(D145,D149,D151,D153)*12/52/5*$B$4*D15%,0))</f>
        <v>420000</v>
      </c>
      <c r="E101" s="360">
        <f>IF(OR(E22="A",E22="B"),ROUND(SUM(E145,E149,E151,E153)*12/52/5*E15%,0),ROUND(SUM(E145,E149,E151,E153)*12/52/5*$B$4*E15%,0))</f>
        <v>507692</v>
      </c>
      <c r="F101" s="360">
        <f>IF(OR(F22="A",F22="B"),ROUND(SUM(F145,F149,F151,F153)*12/52/5*F15%,0),ROUND(SUM(F145,F149,F151,F153)*12/52/5*$B$4*F15%,0))</f>
        <v>738462</v>
      </c>
      <c r="G101" s="360">
        <f>IF(OR(G22="A",G22="B"),ROUND(SUM(G147,G149,G151,G153)*12/52/5*G15%,0),ROUND(SUM(G147,G149,G151,G153)*12/52/5*$B$4*G15%,0))</f>
        <v>267750</v>
      </c>
      <c r="H101" s="360">
        <f t="shared" ref="H101:O101" si="33">IF(OR(H22="A",H22="B"),ROUND(SUM(H145,H149,H151,H153)*12/52/5*H15%,0),ROUND(SUM(H145,H149,H151,H153)*12/52/5*$B$4*H15%,0))</f>
        <v>3828825</v>
      </c>
      <c r="I101" s="360">
        <f t="shared" si="33"/>
        <v>4498200</v>
      </c>
      <c r="J101" s="360">
        <f t="shared" si="33"/>
        <v>1650000</v>
      </c>
      <c r="K101" s="360">
        <f t="shared" si="33"/>
        <v>600000</v>
      </c>
      <c r="L101" s="360">
        <f t="shared" si="33"/>
        <v>530769</v>
      </c>
      <c r="M101" s="360">
        <f t="shared" si="33"/>
        <v>484615</v>
      </c>
      <c r="N101" s="360">
        <f t="shared" si="33"/>
        <v>415385</v>
      </c>
      <c r="O101" s="497">
        <f t="shared" si="33"/>
        <v>276923</v>
      </c>
      <c r="P101" s="498">
        <f t="shared" si="30"/>
        <v>14824621</v>
      </c>
      <c r="Q101" s="347"/>
      <c r="R101" s="341"/>
      <c r="S101" s="341"/>
      <c r="T101" s="341"/>
      <c r="U101" s="341"/>
    </row>
    <row r="102" spans="1:21">
      <c r="A102" s="445" t="s">
        <v>502</v>
      </c>
      <c r="B102" s="332">
        <f>IF(OR(B22="A",B22="B"),ROUND(B144/B18,0),ROUND(B144*$B$4/B18,0))</f>
        <v>250000</v>
      </c>
      <c r="C102" s="332">
        <f>IF(OR(C22="A",C22="B"),ROUND(C144/C18,0),ROUND(C144*$B$4/C18,0))</f>
        <v>225000</v>
      </c>
      <c r="D102" s="332">
        <f>IF(OR(D22="A",D22="B"),ROUND(D144/D18,0),ROUND(D144*$B$4/D18,0))</f>
        <v>350000</v>
      </c>
      <c r="E102" s="332">
        <f>IF(OR(E22="A",E22="B"),ROUND(E144/E18,0),ROUND(E144*$B$4/E18,0))</f>
        <v>450000</v>
      </c>
      <c r="F102" s="332">
        <f>IF(OR(F22="A",F22="B"),ROUND(F144/F18,0),ROUND(F144*$B$4/F18,0))</f>
        <v>700000</v>
      </c>
      <c r="G102" s="332">
        <f>IF(OR(G22="A",G22="B"),ROUND(G146/G18,0),ROUND(G146*$B$4/G18,0))</f>
        <v>232050</v>
      </c>
      <c r="H102" s="332">
        <f t="shared" ref="H102:O102" si="34">IF(OR(H22="A",H22="B"),ROUND(H144/H18,0),ROUND(H144*$B$4/H18,0))</f>
        <v>5801250</v>
      </c>
      <c r="I102" s="332">
        <f t="shared" si="34"/>
        <v>4641000</v>
      </c>
      <c r="J102" s="332">
        <f t="shared" si="34"/>
        <v>2500000</v>
      </c>
      <c r="K102" s="332">
        <f t="shared" si="34"/>
        <v>400000</v>
      </c>
      <c r="L102" s="332">
        <f t="shared" si="34"/>
        <v>4500000</v>
      </c>
      <c r="M102" s="332">
        <f t="shared" si="34"/>
        <v>250000</v>
      </c>
      <c r="N102" s="332">
        <f t="shared" si="34"/>
        <v>325000</v>
      </c>
      <c r="O102" s="400">
        <f t="shared" si="34"/>
        <v>300000</v>
      </c>
      <c r="P102" s="346">
        <f t="shared" si="30"/>
        <v>20924300</v>
      </c>
      <c r="Q102" s="347"/>
      <c r="R102" s="347"/>
      <c r="S102" s="347"/>
      <c r="T102" s="347"/>
      <c r="U102" s="347"/>
    </row>
    <row r="103" spans="1:21">
      <c r="A103" s="491" t="s">
        <v>726</v>
      </c>
      <c r="B103" s="360">
        <f>IF(OR(B22="A",B22="B"),ROUND(B145/B18,0),ROUND(B145*$B$4/B18,0))</f>
        <v>350000</v>
      </c>
      <c r="C103" s="360">
        <f>IF(OR(C22="A",C22="B"),ROUND(C145/C18,0),ROUND(C145*$B$4/C18,0))</f>
        <v>310000</v>
      </c>
      <c r="D103" s="360">
        <f>IF(OR(D22="A",D22="B"),ROUND(D145/D18,0),ROUND(D145*$B$4/D18,0))</f>
        <v>350000</v>
      </c>
      <c r="E103" s="360">
        <f>IF(OR(E22="A",E22="B"),ROUND(E145/E18,0),ROUND(E145*$B$4/E18,0))</f>
        <v>550000</v>
      </c>
      <c r="F103" s="360">
        <f>IF(OR(F22="A",F22="B"),ROUND(F145/F18,0),ROUND(F145*$B$4/F18,0))</f>
        <v>800000</v>
      </c>
      <c r="G103" s="360">
        <f>IF(OR(G22="A",G22="B"),ROUND(G147/G18,0),ROUND(G147*$B$4/G18,0))</f>
        <v>290063</v>
      </c>
      <c r="H103" s="360">
        <f t="shared" ref="H103:O103" si="35">IF(OR(H22="A",H22="B"),ROUND(H145/H18,0),ROUND(H145*$B$4/H18,0))</f>
        <v>6381375</v>
      </c>
      <c r="I103" s="360">
        <f t="shared" si="35"/>
        <v>4873050</v>
      </c>
      <c r="J103" s="360">
        <f t="shared" si="35"/>
        <v>2750000</v>
      </c>
      <c r="K103" s="360">
        <f t="shared" si="35"/>
        <v>500000</v>
      </c>
      <c r="L103" s="360">
        <f t="shared" si="35"/>
        <v>575000</v>
      </c>
      <c r="M103" s="360">
        <f t="shared" si="35"/>
        <v>350000</v>
      </c>
      <c r="N103" s="360">
        <f t="shared" si="35"/>
        <v>325000</v>
      </c>
      <c r="O103" s="497">
        <f t="shared" si="35"/>
        <v>300000</v>
      </c>
      <c r="P103" s="498">
        <f t="shared" si="30"/>
        <v>18704488</v>
      </c>
      <c r="Q103" s="347"/>
      <c r="R103" s="347"/>
      <c r="S103" s="347"/>
      <c r="T103" s="347"/>
      <c r="U103" s="347"/>
    </row>
    <row r="104" spans="1:21">
      <c r="A104" s="445" t="s">
        <v>628</v>
      </c>
      <c r="B104" s="332">
        <f t="shared" ref="B104:O104" si="36">IF(OR(B22="A",B22="B"),ROUND(SUM(B148,B150,B152,B154:B156)/B18,0),ROUND(SUM(B148,B150,B152,B154:B156)*$B$4/B18,0))</f>
        <v>75000</v>
      </c>
      <c r="C104" s="332">
        <f t="shared" si="36"/>
        <v>67500</v>
      </c>
      <c r="D104" s="332">
        <f t="shared" si="36"/>
        <v>105000</v>
      </c>
      <c r="E104" s="332">
        <f t="shared" si="36"/>
        <v>0</v>
      </c>
      <c r="F104" s="332">
        <f t="shared" si="36"/>
        <v>0</v>
      </c>
      <c r="G104" s="332">
        <f t="shared" si="36"/>
        <v>0</v>
      </c>
      <c r="H104" s="332">
        <f t="shared" si="36"/>
        <v>1740375</v>
      </c>
      <c r="I104" s="332">
        <f t="shared" si="36"/>
        <v>0</v>
      </c>
      <c r="J104" s="332">
        <f t="shared" si="36"/>
        <v>750000</v>
      </c>
      <c r="K104" s="332">
        <f t="shared" si="36"/>
        <v>120000</v>
      </c>
      <c r="L104" s="332">
        <f t="shared" si="36"/>
        <v>0</v>
      </c>
      <c r="M104" s="332">
        <f t="shared" si="36"/>
        <v>125000</v>
      </c>
      <c r="N104" s="332">
        <f t="shared" si="36"/>
        <v>125000</v>
      </c>
      <c r="O104" s="400">
        <f t="shared" si="36"/>
        <v>0</v>
      </c>
      <c r="P104" s="346">
        <f t="shared" si="30"/>
        <v>3107875</v>
      </c>
      <c r="Q104" s="347"/>
      <c r="R104" s="347"/>
      <c r="S104" s="347"/>
      <c r="T104" s="347"/>
      <c r="U104" s="347"/>
    </row>
    <row r="105" spans="1:21">
      <c r="A105" s="491" t="s">
        <v>729</v>
      </c>
      <c r="B105" s="360">
        <f t="shared" ref="B105:O105" si="37">IF(OR(B22="A",B22="B"),ROUND(SUM(B149,B151,B152,B154:B156)/B18,0),ROUND(SUM(B149,B151,B152,B154:B156)*$B$4/B18,0))</f>
        <v>105000</v>
      </c>
      <c r="C105" s="360">
        <f t="shared" si="37"/>
        <v>93000</v>
      </c>
      <c r="D105" s="360">
        <f t="shared" si="37"/>
        <v>105000</v>
      </c>
      <c r="E105" s="360">
        <f t="shared" si="37"/>
        <v>0</v>
      </c>
      <c r="F105" s="360">
        <f t="shared" si="37"/>
        <v>0</v>
      </c>
      <c r="G105" s="360">
        <f t="shared" si="37"/>
        <v>0</v>
      </c>
      <c r="H105" s="360">
        <f t="shared" si="37"/>
        <v>1914413</v>
      </c>
      <c r="I105" s="360">
        <f t="shared" si="37"/>
        <v>0</v>
      </c>
      <c r="J105" s="360">
        <f t="shared" si="37"/>
        <v>825000</v>
      </c>
      <c r="K105" s="360">
        <f t="shared" si="37"/>
        <v>150000</v>
      </c>
      <c r="L105" s="360">
        <f t="shared" si="37"/>
        <v>0</v>
      </c>
      <c r="M105" s="360">
        <f t="shared" si="37"/>
        <v>175000</v>
      </c>
      <c r="N105" s="360">
        <f t="shared" si="37"/>
        <v>125000</v>
      </c>
      <c r="O105" s="497">
        <f t="shared" si="37"/>
        <v>0</v>
      </c>
      <c r="P105" s="498">
        <f t="shared" si="30"/>
        <v>3492413</v>
      </c>
      <c r="Q105" s="347"/>
      <c r="R105" s="347"/>
      <c r="S105" s="347"/>
      <c r="T105" s="347"/>
      <c r="U105" s="347"/>
    </row>
    <row r="106" spans="1:21">
      <c r="A106" s="445" t="s">
        <v>503</v>
      </c>
      <c r="B106" s="7">
        <f t="shared" ref="B106:O106" si="38">B16/B18*100%</f>
        <v>0</v>
      </c>
      <c r="C106" s="7">
        <f t="shared" si="38"/>
        <v>0</v>
      </c>
      <c r="D106" s="7">
        <f t="shared" si="38"/>
        <v>0.25</v>
      </c>
      <c r="E106" s="7">
        <f t="shared" si="38"/>
        <v>0.5</v>
      </c>
      <c r="F106" s="7">
        <f t="shared" si="38"/>
        <v>0</v>
      </c>
      <c r="G106" s="7">
        <f t="shared" si="38"/>
        <v>0</v>
      </c>
      <c r="H106" s="7">
        <f t="shared" si="38"/>
        <v>0</v>
      </c>
      <c r="I106" s="7">
        <f t="shared" si="38"/>
        <v>0</v>
      </c>
      <c r="J106" s="7">
        <f t="shared" si="38"/>
        <v>0</v>
      </c>
      <c r="K106" s="7">
        <f t="shared" si="38"/>
        <v>0</v>
      </c>
      <c r="L106" s="7">
        <f t="shared" si="38"/>
        <v>0</v>
      </c>
      <c r="M106" s="7">
        <f t="shared" si="38"/>
        <v>0</v>
      </c>
      <c r="N106" s="7">
        <f t="shared" si="38"/>
        <v>0</v>
      </c>
      <c r="O106" s="12">
        <f t="shared" si="38"/>
        <v>0.5</v>
      </c>
      <c r="P106" s="478">
        <f t="shared" si="30"/>
        <v>1.25</v>
      </c>
      <c r="Q106" s="347"/>
      <c r="R106" s="347"/>
      <c r="S106" s="347"/>
      <c r="T106" s="347"/>
      <c r="U106" s="347"/>
    </row>
    <row r="107" spans="1:21">
      <c r="A107" s="491" t="s">
        <v>721</v>
      </c>
      <c r="B107" s="447">
        <f t="shared" ref="B107:O107" si="39">B17/B18*100%</f>
        <v>1</v>
      </c>
      <c r="C107" s="447">
        <f t="shared" si="39"/>
        <v>1</v>
      </c>
      <c r="D107" s="447">
        <f t="shared" si="39"/>
        <v>0</v>
      </c>
      <c r="E107" s="447">
        <f t="shared" si="39"/>
        <v>0.5</v>
      </c>
      <c r="F107" s="447">
        <f t="shared" si="39"/>
        <v>1</v>
      </c>
      <c r="G107" s="447">
        <f t="shared" si="39"/>
        <v>1</v>
      </c>
      <c r="H107" s="447">
        <f t="shared" si="39"/>
        <v>1</v>
      </c>
      <c r="I107" s="447">
        <f t="shared" si="39"/>
        <v>1</v>
      </c>
      <c r="J107" s="447">
        <f t="shared" si="39"/>
        <v>1</v>
      </c>
      <c r="K107" s="447">
        <f t="shared" si="39"/>
        <v>1</v>
      </c>
      <c r="L107" s="447">
        <f t="shared" si="39"/>
        <v>1</v>
      </c>
      <c r="M107" s="447">
        <f t="shared" si="39"/>
        <v>1</v>
      </c>
      <c r="N107" s="447">
        <f t="shared" si="39"/>
        <v>1</v>
      </c>
      <c r="O107" s="448">
        <f t="shared" si="39"/>
        <v>0.5</v>
      </c>
      <c r="P107" s="499">
        <f t="shared" si="30"/>
        <v>12</v>
      </c>
      <c r="Q107" s="347"/>
      <c r="R107" s="347"/>
      <c r="S107" s="347"/>
      <c r="T107" s="347"/>
      <c r="U107" s="347"/>
    </row>
    <row r="108" spans="1:21">
      <c r="A108" s="445" t="s">
        <v>504</v>
      </c>
      <c r="B108" s="7">
        <f t="shared" ref="B108:O108" si="40">(B16-B157)/261*100%</f>
        <v>0</v>
      </c>
      <c r="C108" s="7">
        <f t="shared" si="40"/>
        <v>0</v>
      </c>
      <c r="D108" s="7">
        <f t="shared" si="40"/>
        <v>1.9157088122605363E-2</v>
      </c>
      <c r="E108" s="7">
        <f t="shared" si="40"/>
        <v>3.8314176245210725E-2</v>
      </c>
      <c r="F108" s="7">
        <f t="shared" si="40"/>
        <v>0</v>
      </c>
      <c r="G108" s="7">
        <f t="shared" si="40"/>
        <v>0</v>
      </c>
      <c r="H108" s="7">
        <f t="shared" si="40"/>
        <v>0</v>
      </c>
      <c r="I108" s="7">
        <f t="shared" si="40"/>
        <v>0</v>
      </c>
      <c r="J108" s="7">
        <f t="shared" si="40"/>
        <v>0</v>
      </c>
      <c r="K108" s="7">
        <f t="shared" si="40"/>
        <v>0</v>
      </c>
      <c r="L108" s="7">
        <f t="shared" si="40"/>
        <v>0</v>
      </c>
      <c r="M108" s="7">
        <f t="shared" si="40"/>
        <v>0</v>
      </c>
      <c r="N108" s="7">
        <f t="shared" si="40"/>
        <v>0</v>
      </c>
      <c r="O108" s="12">
        <f t="shared" si="40"/>
        <v>3.8314176245210725E-2</v>
      </c>
      <c r="P108" s="478">
        <f t="shared" si="30"/>
        <v>9.5785440613026823E-2</v>
      </c>
      <c r="Q108" s="347"/>
      <c r="R108" s="347"/>
      <c r="S108" s="347"/>
      <c r="T108" s="347"/>
      <c r="U108" s="347"/>
    </row>
    <row r="109" spans="1:21">
      <c r="A109" s="491" t="s">
        <v>722</v>
      </c>
      <c r="B109" s="447">
        <f t="shared" ref="B109:O109" si="41">(B17-B157)/261*100%</f>
        <v>7.662835249042145E-2</v>
      </c>
      <c r="C109" s="447">
        <f t="shared" si="41"/>
        <v>7.662835249042145E-2</v>
      </c>
      <c r="D109" s="447">
        <f t="shared" si="41"/>
        <v>0</v>
      </c>
      <c r="E109" s="447">
        <f t="shared" si="41"/>
        <v>3.8314176245210725E-2</v>
      </c>
      <c r="F109" s="447">
        <f t="shared" si="41"/>
        <v>7.662835249042145E-2</v>
      </c>
      <c r="G109" s="447">
        <f t="shared" si="41"/>
        <v>7.662835249042145E-2</v>
      </c>
      <c r="H109" s="447">
        <f t="shared" si="41"/>
        <v>7.662835249042145E-2</v>
      </c>
      <c r="I109" s="447">
        <f t="shared" si="41"/>
        <v>7.662835249042145E-2</v>
      </c>
      <c r="J109" s="447">
        <f t="shared" si="41"/>
        <v>7.662835249042145E-2</v>
      </c>
      <c r="K109" s="447">
        <f t="shared" si="41"/>
        <v>7.662835249042145E-2</v>
      </c>
      <c r="L109" s="447">
        <f t="shared" si="41"/>
        <v>7.662835249042145E-2</v>
      </c>
      <c r="M109" s="447">
        <f t="shared" si="41"/>
        <v>7.662835249042145E-2</v>
      </c>
      <c r="N109" s="447">
        <f t="shared" si="41"/>
        <v>7.662835249042145E-2</v>
      </c>
      <c r="O109" s="448">
        <f t="shared" si="41"/>
        <v>3.8314176245210725E-2</v>
      </c>
      <c r="P109" s="499">
        <f t="shared" si="30"/>
        <v>0.91954022988505735</v>
      </c>
      <c r="Q109" s="347"/>
      <c r="R109" s="347"/>
      <c r="S109" s="347"/>
      <c r="T109" s="347"/>
      <c r="U109" s="347"/>
    </row>
    <row r="110" spans="1:21">
      <c r="A110" s="445" t="s">
        <v>505</v>
      </c>
      <c r="B110" s="7">
        <f t="shared" ref="B110:O110" si="42">B159/B18*100%</f>
        <v>0</v>
      </c>
      <c r="C110" s="7">
        <f t="shared" si="42"/>
        <v>0</v>
      </c>
      <c r="D110" s="7">
        <f t="shared" si="42"/>
        <v>0</v>
      </c>
      <c r="E110" s="7">
        <f t="shared" si="42"/>
        <v>0</v>
      </c>
      <c r="F110" s="7">
        <f t="shared" si="42"/>
        <v>0</v>
      </c>
      <c r="G110" s="7">
        <f t="shared" si="42"/>
        <v>0</v>
      </c>
      <c r="H110" s="7">
        <f t="shared" si="42"/>
        <v>0</v>
      </c>
      <c r="I110" s="7">
        <f t="shared" si="42"/>
        <v>0</v>
      </c>
      <c r="J110" s="7">
        <f t="shared" si="42"/>
        <v>0</v>
      </c>
      <c r="K110" s="7">
        <f t="shared" si="42"/>
        <v>0</v>
      </c>
      <c r="L110" s="7">
        <f t="shared" si="42"/>
        <v>0</v>
      </c>
      <c r="M110" s="7">
        <f t="shared" si="42"/>
        <v>0</v>
      </c>
      <c r="N110" s="7">
        <f t="shared" si="42"/>
        <v>0</v>
      </c>
      <c r="O110" s="12">
        <f t="shared" si="42"/>
        <v>0</v>
      </c>
      <c r="P110" s="478">
        <f t="shared" si="30"/>
        <v>0</v>
      </c>
      <c r="Q110" s="348"/>
      <c r="R110" s="347"/>
      <c r="S110" s="347"/>
      <c r="T110" s="347"/>
      <c r="U110" s="347"/>
    </row>
    <row r="111" spans="1:21">
      <c r="A111" s="451" t="s">
        <v>494</v>
      </c>
      <c r="B111" s="332">
        <f>ROUND(AA23*B19/365,0)+ROUND(AA23*B20/365,0)</f>
        <v>657534</v>
      </c>
      <c r="C111" s="332">
        <f>ROUND(AA24*C19/365,0)+ROUND(AA24*C20/365,0)</f>
        <v>657534</v>
      </c>
      <c r="E111" s="332">
        <f>ROUND(AA25*E19/365,0)+ROUND(AA25*E20/365,0)</f>
        <v>657534</v>
      </c>
      <c r="F111" s="332">
        <f>ROUND(AA26*F19/365,0)+ROUND(AA26*F20/365,0)</f>
        <v>657534</v>
      </c>
      <c r="G111" s="332"/>
      <c r="H111" s="332">
        <f>ROUND(AA27*G19/365,0)+ROUND(AA27*G20/365,0)</f>
        <v>657534</v>
      </c>
      <c r="I111" s="332"/>
      <c r="J111" s="332"/>
      <c r="K111" s="340"/>
      <c r="L111" s="340"/>
      <c r="M111" s="340"/>
      <c r="N111" s="340"/>
      <c r="O111" s="401"/>
      <c r="P111" s="346">
        <f t="shared" si="30"/>
        <v>3287670</v>
      </c>
      <c r="Q111" s="347"/>
      <c r="R111" s="347"/>
      <c r="S111" s="347"/>
      <c r="T111" s="347"/>
      <c r="U111" s="347"/>
    </row>
    <row r="112" spans="1:21">
      <c r="A112" s="445" t="s">
        <v>536</v>
      </c>
      <c r="B112" s="332">
        <f>ROUND(AA28*B19/365,0)+ROUND(AA28*B20/365,0)</f>
        <v>575342</v>
      </c>
      <c r="C112" s="332">
        <f>ROUND(AA29*C19/365,0)+ROUND(AA29*C20/365,0)</f>
        <v>575342</v>
      </c>
      <c r="E112" s="332">
        <f>ROUND(AA30*E19/365,0)+ROUND(AA30*E20/365,0)</f>
        <v>575342</v>
      </c>
      <c r="F112" s="332">
        <f>ROUND(AA31*F19/365,0)+ROUND(AA31*F20/365,0)</f>
        <v>575342</v>
      </c>
      <c r="G112" s="332"/>
      <c r="H112" s="332">
        <f>ROUND(AA32*G19/365,0)+ROUND(AA32*G20/365,0)</f>
        <v>575342</v>
      </c>
      <c r="I112" s="332"/>
      <c r="J112" s="332"/>
      <c r="K112" s="332"/>
      <c r="L112" s="332"/>
      <c r="M112" s="332"/>
      <c r="N112" s="332"/>
      <c r="O112" s="400"/>
      <c r="P112" s="346">
        <f t="shared" si="30"/>
        <v>2876710</v>
      </c>
      <c r="Q112" s="347"/>
      <c r="R112" s="347"/>
      <c r="S112" s="347"/>
      <c r="T112" s="347"/>
      <c r="U112" s="347"/>
    </row>
    <row r="113" spans="1:21">
      <c r="A113" s="412" t="s">
        <v>613</v>
      </c>
      <c r="B113" s="402"/>
      <c r="C113" s="80"/>
      <c r="D113" s="332"/>
      <c r="E113" s="332"/>
      <c r="F113" s="332"/>
      <c r="G113" s="332"/>
      <c r="H113" s="332">
        <f>AA33*B4</f>
        <v>2320500</v>
      </c>
      <c r="I113" s="332">
        <f>AA34*B4</f>
        <v>2320500</v>
      </c>
      <c r="J113" s="332"/>
      <c r="K113" s="340"/>
      <c r="L113" s="340"/>
      <c r="M113" s="340"/>
      <c r="N113" s="340"/>
      <c r="O113" s="401"/>
      <c r="P113" s="355">
        <f>SUM(D113:O113)</f>
        <v>4641000</v>
      </c>
      <c r="Q113" s="379"/>
      <c r="R113" s="379"/>
      <c r="S113" s="379"/>
      <c r="T113" s="379"/>
      <c r="U113" s="379"/>
    </row>
    <row r="114" spans="1:21">
      <c r="A114" s="412" t="s">
        <v>614</v>
      </c>
      <c r="B114" s="402"/>
      <c r="C114" s="80"/>
      <c r="D114" s="332"/>
      <c r="E114" s="332"/>
      <c r="F114" s="332"/>
      <c r="G114" s="332"/>
      <c r="H114" s="332">
        <f>AA35*B4</f>
        <v>4641000</v>
      </c>
      <c r="I114" s="332">
        <f>AA36*B4</f>
        <v>4641000</v>
      </c>
      <c r="J114" s="332"/>
      <c r="K114" s="340"/>
      <c r="L114" s="340"/>
      <c r="M114" s="340"/>
      <c r="N114" s="340"/>
      <c r="O114" s="401"/>
      <c r="P114" s="355">
        <f>SUM(D114:O114)</f>
        <v>9282000</v>
      </c>
      <c r="Q114" s="379"/>
      <c r="R114" s="379"/>
      <c r="S114" s="379"/>
      <c r="T114" s="379"/>
      <c r="U114" s="379"/>
    </row>
    <row r="115" spans="1:21">
      <c r="A115" s="412"/>
      <c r="B115" s="331"/>
      <c r="C115" s="332"/>
      <c r="D115" s="332"/>
      <c r="E115" s="340"/>
      <c r="F115" s="332"/>
      <c r="G115" s="332"/>
      <c r="H115" s="332"/>
      <c r="I115" s="332"/>
      <c r="J115" s="332"/>
      <c r="K115" s="340"/>
      <c r="L115" s="340"/>
      <c r="M115" s="340"/>
      <c r="N115" s="340"/>
      <c r="O115" s="401"/>
      <c r="P115" s="346"/>
      <c r="Q115" s="347"/>
      <c r="R115" s="348"/>
      <c r="S115" s="348"/>
      <c r="T115" s="348"/>
      <c r="U115" s="348"/>
    </row>
    <row r="116" spans="1:21">
      <c r="A116" s="412" t="s">
        <v>579</v>
      </c>
      <c r="B116" s="331">
        <f t="shared" ref="B116:O116" si="43">SUM(B28:B40)</f>
        <v>9143269</v>
      </c>
      <c r="C116" s="332">
        <f t="shared" si="43"/>
        <v>8060000</v>
      </c>
      <c r="D116" s="332">
        <f t="shared" si="43"/>
        <v>5748400</v>
      </c>
      <c r="E116" s="332">
        <f t="shared" si="43"/>
        <v>10907355</v>
      </c>
      <c r="F116" s="332">
        <f t="shared" si="43"/>
        <v>16000000</v>
      </c>
      <c r="G116" s="332">
        <f t="shared" si="43"/>
        <v>23205000</v>
      </c>
      <c r="H116" s="332">
        <f t="shared" si="43"/>
        <v>158954250</v>
      </c>
      <c r="I116" s="332">
        <f t="shared" si="43"/>
        <v>93712500</v>
      </c>
      <c r="J116" s="332">
        <f t="shared" si="43"/>
        <v>71500000</v>
      </c>
      <c r="K116" s="332">
        <f t="shared" si="43"/>
        <v>13000000</v>
      </c>
      <c r="L116" s="332">
        <f t="shared" si="43"/>
        <v>11500000</v>
      </c>
      <c r="M116" s="332">
        <f t="shared" si="43"/>
        <v>11988455</v>
      </c>
      <c r="N116" s="332">
        <f t="shared" si="43"/>
        <v>9241875</v>
      </c>
      <c r="O116" s="400">
        <f t="shared" si="43"/>
        <v>6000000</v>
      </c>
      <c r="P116" s="346">
        <f t="shared" ref="P116:P128" si="44">SUM(B116:O116)</f>
        <v>448961104</v>
      </c>
      <c r="Q116" s="347"/>
      <c r="R116" s="347"/>
      <c r="S116" s="347"/>
      <c r="T116" s="347"/>
      <c r="U116" s="347"/>
    </row>
    <row r="117" spans="1:21">
      <c r="A117" s="445" t="s">
        <v>580</v>
      </c>
      <c r="B117" s="332">
        <f t="shared" ref="B117:O117" si="45">SUM(B28:B32,B39,B42,B43,B85:B90)</f>
        <v>9966735</v>
      </c>
      <c r="C117" s="332">
        <f t="shared" si="45"/>
        <v>9107090</v>
      </c>
      <c r="D117" s="332">
        <f t="shared" si="45"/>
        <v>5748400</v>
      </c>
      <c r="E117" s="332">
        <f t="shared" si="45"/>
        <v>11493594</v>
      </c>
      <c r="F117" s="332">
        <f t="shared" si="45"/>
        <v>16657534</v>
      </c>
      <c r="G117" s="332">
        <f t="shared" si="45"/>
        <v>23205000</v>
      </c>
      <c r="H117" s="332">
        <f t="shared" si="45"/>
        <v>168691723</v>
      </c>
      <c r="I117" s="332">
        <f t="shared" si="45"/>
        <v>93712500</v>
      </c>
      <c r="J117" s="332">
        <f t="shared" si="45"/>
        <v>71500000</v>
      </c>
      <c r="K117" s="332">
        <f t="shared" si="45"/>
        <v>13000000</v>
      </c>
      <c r="L117" s="332">
        <f t="shared" si="45"/>
        <v>11500000</v>
      </c>
      <c r="M117" s="332">
        <f t="shared" si="45"/>
        <v>11123075</v>
      </c>
      <c r="N117" s="332">
        <f t="shared" si="45"/>
        <v>9091875</v>
      </c>
      <c r="O117" s="332">
        <f t="shared" si="45"/>
        <v>6000000</v>
      </c>
      <c r="P117" s="346">
        <f t="shared" si="44"/>
        <v>460797526</v>
      </c>
      <c r="Q117" s="347"/>
      <c r="R117" s="347"/>
      <c r="S117" s="347"/>
      <c r="T117" s="347"/>
      <c r="U117" s="347"/>
    </row>
    <row r="118" spans="1:21">
      <c r="A118" s="445" t="s">
        <v>581</v>
      </c>
      <c r="B118" s="332">
        <f>IF(B17&lt;B16,IF(OR(B22="A",B22="B"),SUM(B144,B148,B150,B153),B164),IF(OR(B22="A",B22="B"),SUM(B145,B149,B151,B153),B165))</f>
        <v>9100000</v>
      </c>
      <c r="C118" s="332">
        <f>IF(C17&lt;C16,IF(OR(C22="A",C22="B"),SUM(C144,C148,C150,C153),C164),IF(OR(C22="A",C22="B"),SUM(C145,C149,C151,C153),C165))</f>
        <v>8060000</v>
      </c>
      <c r="D118" s="332">
        <v>0</v>
      </c>
      <c r="E118" s="332">
        <f t="shared" ref="E118:O118" si="46">IF(E17&lt;E16,IF(OR(E22="A",E22="B"),SUM(E144,E148,E150,E153),E164),IF(OR(E22="A",E22="B"),SUM(E145,E149,E151,E153),E165))</f>
        <v>11000000</v>
      </c>
      <c r="F118" s="332">
        <f t="shared" si="46"/>
        <v>16000000</v>
      </c>
      <c r="G118" s="332">
        <f t="shared" si="46"/>
        <v>0</v>
      </c>
      <c r="H118" s="332">
        <f t="shared" si="46"/>
        <v>160975000</v>
      </c>
      <c r="I118" s="332">
        <f t="shared" si="46"/>
        <v>91650000</v>
      </c>
      <c r="J118" s="332">
        <f t="shared" si="46"/>
        <v>71500000</v>
      </c>
      <c r="K118" s="332">
        <f t="shared" si="46"/>
        <v>13000000</v>
      </c>
      <c r="L118" s="332">
        <f t="shared" si="46"/>
        <v>11500000</v>
      </c>
      <c r="M118" s="332">
        <f t="shared" si="46"/>
        <v>10500000</v>
      </c>
      <c r="N118" s="332">
        <f t="shared" si="46"/>
        <v>9000000</v>
      </c>
      <c r="O118" s="400">
        <f t="shared" si="46"/>
        <v>6000000</v>
      </c>
      <c r="P118" s="346">
        <f t="shared" si="44"/>
        <v>418285000</v>
      </c>
      <c r="Q118" s="347"/>
      <c r="R118" s="347"/>
      <c r="S118" s="347"/>
      <c r="T118" s="347"/>
      <c r="U118" s="347"/>
    </row>
    <row r="119" spans="1:21">
      <c r="A119" s="412" t="s">
        <v>586</v>
      </c>
      <c r="B119" s="332">
        <f t="shared" ref="B119:O119" si="47">ROUND(IF(OR(B22="A",B22="B"),SUM(B162,B148,B150,B154,B155,B153),SUM(B162,B153)*$B$4)/30*B19,0)+ROUND(IF(OR(B22="A",B22="B"),SUM(B163,B149,B151,B154,B155,B153),SUM(B163,B153)*$B$4)/30*B20,0)</f>
        <v>9100000</v>
      </c>
      <c r="C119" s="332">
        <f t="shared" si="47"/>
        <v>8060000</v>
      </c>
      <c r="D119" s="332">
        <f t="shared" si="47"/>
        <v>2123333</v>
      </c>
      <c r="E119" s="332">
        <f t="shared" si="47"/>
        <v>9933333</v>
      </c>
      <c r="F119" s="332">
        <f t="shared" si="47"/>
        <v>16000000</v>
      </c>
      <c r="G119" s="332">
        <f t="shared" si="47"/>
        <v>0</v>
      </c>
      <c r="H119" s="332">
        <f t="shared" si="47"/>
        <v>120666000</v>
      </c>
      <c r="I119" s="332">
        <f t="shared" si="47"/>
        <v>90499500</v>
      </c>
      <c r="J119" s="332">
        <f t="shared" si="47"/>
        <v>71500000</v>
      </c>
      <c r="K119" s="332">
        <f t="shared" si="47"/>
        <v>13000000</v>
      </c>
      <c r="L119" s="332">
        <f t="shared" si="47"/>
        <v>11500000</v>
      </c>
      <c r="M119" s="332">
        <f t="shared" si="47"/>
        <v>10300000</v>
      </c>
      <c r="N119" s="332">
        <f t="shared" si="47"/>
        <v>9000000</v>
      </c>
      <c r="O119" s="332">
        <f t="shared" si="47"/>
        <v>6000000</v>
      </c>
      <c r="P119" s="346">
        <f t="shared" si="44"/>
        <v>377682166</v>
      </c>
      <c r="Q119" s="347"/>
      <c r="R119" s="347"/>
      <c r="S119" s="347"/>
      <c r="T119" s="347"/>
      <c r="U119" s="347"/>
    </row>
    <row r="120" spans="1:21">
      <c r="A120" s="412" t="s">
        <v>483</v>
      </c>
      <c r="B120" s="332">
        <f>ROUND('UAT5-May'!B59/5,0)</f>
        <v>8020000</v>
      </c>
      <c r="C120" s="332">
        <f>ROUND('UAT5-May'!C59/5,0)</f>
        <v>7662000</v>
      </c>
      <c r="D120" s="332">
        <f>ROUND('UAT5-May'!D59/5,0)</f>
        <v>10912000</v>
      </c>
      <c r="E120" s="332">
        <f>ROUND('UAT5-May'!E59/5,0)</f>
        <v>9720000</v>
      </c>
      <c r="F120" s="332">
        <f>ROUND('UAT5-May'!F59/5,0)</f>
        <v>14720000</v>
      </c>
      <c r="G120" s="332">
        <f>ROUND('UAT5-May'!G59/5,0)</f>
        <v>0</v>
      </c>
      <c r="H120" s="332">
        <f>ROUND('UAT5-May'!H59/5,0)</f>
        <v>126235200</v>
      </c>
      <c r="I120" s="332">
        <f>ROUND('UAT5-May'!I59/5,0)</f>
        <v>88967970</v>
      </c>
      <c r="J120" s="332">
        <f>ROUND('UAT5-May'!J59/5,0)</f>
        <v>65000000</v>
      </c>
      <c r="K120" s="332">
        <f>ROUND('UAT5-May'!K59/5,0)</f>
        <v>10692000</v>
      </c>
      <c r="L120" s="332">
        <f>ROUND('UAT5-May'!L59/5,0)</f>
        <v>90000000</v>
      </c>
      <c r="M120" s="332">
        <f>ROUND('UAT5-May'!M59/5,0)</f>
        <v>7500000</v>
      </c>
      <c r="N120" s="332">
        <f>ROUND('UAT5-May'!N59/5,0)</f>
        <v>9000000</v>
      </c>
      <c r="O120" s="400">
        <f>ROUND('UAT5-May'!O59/5,0)</f>
        <v>1200000</v>
      </c>
      <c r="P120" s="346">
        <f t="shared" si="44"/>
        <v>449629170</v>
      </c>
      <c r="Q120" s="347"/>
      <c r="R120" s="347"/>
      <c r="S120" s="347"/>
      <c r="T120" s="347"/>
      <c r="U120" s="347"/>
    </row>
    <row r="121" spans="1:21">
      <c r="A121" s="445" t="s">
        <v>486</v>
      </c>
      <c r="B121" s="332">
        <f>B117</f>
        <v>9966735</v>
      </c>
      <c r="C121" s="332">
        <f t="shared" ref="C121:O121" si="48">C117</f>
        <v>9107090</v>
      </c>
      <c r="D121" s="332">
        <f t="shared" si="48"/>
        <v>5748400</v>
      </c>
      <c r="E121" s="332">
        <f t="shared" si="48"/>
        <v>11493594</v>
      </c>
      <c r="F121" s="332">
        <f t="shared" si="48"/>
        <v>16657534</v>
      </c>
      <c r="G121" s="332">
        <f t="shared" si="48"/>
        <v>23205000</v>
      </c>
      <c r="H121" s="332">
        <f t="shared" si="48"/>
        <v>168691723</v>
      </c>
      <c r="I121" s="332">
        <f t="shared" si="48"/>
        <v>93712500</v>
      </c>
      <c r="J121" s="332">
        <f t="shared" si="48"/>
        <v>71500000</v>
      </c>
      <c r="K121" s="332">
        <f t="shared" si="48"/>
        <v>13000000</v>
      </c>
      <c r="L121" s="332">
        <f t="shared" si="48"/>
        <v>11500000</v>
      </c>
      <c r="M121" s="332">
        <f t="shared" si="48"/>
        <v>11123075</v>
      </c>
      <c r="N121" s="332">
        <f t="shared" si="48"/>
        <v>9091875</v>
      </c>
      <c r="O121" s="400">
        <f t="shared" si="48"/>
        <v>6000000</v>
      </c>
      <c r="P121" s="346">
        <f t="shared" si="44"/>
        <v>460797526</v>
      </c>
      <c r="Q121" s="347"/>
      <c r="R121" s="347"/>
      <c r="S121" s="347"/>
      <c r="T121" s="347"/>
      <c r="U121" s="347"/>
    </row>
    <row r="122" spans="1:21">
      <c r="A122" s="445" t="s">
        <v>607</v>
      </c>
      <c r="B122" s="332">
        <f t="shared" ref="B122:O122" si="49">SUM(B49:B51)</f>
        <v>955500</v>
      </c>
      <c r="C122" s="332">
        <f t="shared" si="49"/>
        <v>846300</v>
      </c>
      <c r="D122" s="332">
        <f t="shared" si="49"/>
        <v>0</v>
      </c>
      <c r="E122" s="332">
        <f t="shared" si="49"/>
        <v>1155000</v>
      </c>
      <c r="F122" s="332">
        <f t="shared" si="49"/>
        <v>0</v>
      </c>
      <c r="G122" s="332">
        <f t="shared" si="49"/>
        <v>0</v>
      </c>
      <c r="H122" s="332">
        <f t="shared" si="49"/>
        <v>447000</v>
      </c>
      <c r="I122" s="332">
        <f t="shared" si="49"/>
        <v>447000</v>
      </c>
      <c r="J122" s="332">
        <f t="shared" si="49"/>
        <v>3546000</v>
      </c>
      <c r="K122" s="332">
        <f t="shared" si="49"/>
        <v>0</v>
      </c>
      <c r="L122" s="332">
        <f t="shared" si="49"/>
        <v>1207500</v>
      </c>
      <c r="M122" s="332">
        <f t="shared" si="49"/>
        <v>0</v>
      </c>
      <c r="N122" s="332">
        <f t="shared" si="49"/>
        <v>0</v>
      </c>
      <c r="O122" s="400">
        <f t="shared" si="49"/>
        <v>0</v>
      </c>
      <c r="P122" s="346">
        <f t="shared" si="44"/>
        <v>8604300</v>
      </c>
      <c r="Q122" s="347"/>
      <c r="R122" s="347"/>
      <c r="S122" s="347"/>
      <c r="T122" s="347"/>
      <c r="U122" s="347"/>
    </row>
    <row r="123" spans="1:21">
      <c r="A123" s="445" t="s">
        <v>902</v>
      </c>
      <c r="B123" s="332">
        <f t="shared" ref="B123:O123" si="50">IF(OR(B22="A",B22="C"),B121-B122,B121)</f>
        <v>9011235</v>
      </c>
      <c r="C123" s="332">
        <f t="shared" si="50"/>
        <v>8260790</v>
      </c>
      <c r="D123" s="332">
        <f t="shared" si="50"/>
        <v>5748400</v>
      </c>
      <c r="E123" s="332">
        <f t="shared" si="50"/>
        <v>11493594</v>
      </c>
      <c r="F123" s="332">
        <f t="shared" si="50"/>
        <v>16657534</v>
      </c>
      <c r="G123" s="332">
        <f t="shared" si="50"/>
        <v>23205000</v>
      </c>
      <c r="H123" s="332">
        <f t="shared" si="50"/>
        <v>168691723</v>
      </c>
      <c r="I123" s="332">
        <f t="shared" si="50"/>
        <v>93712500</v>
      </c>
      <c r="J123" s="332">
        <f t="shared" si="50"/>
        <v>67954000</v>
      </c>
      <c r="K123" s="332">
        <f t="shared" si="50"/>
        <v>13000000</v>
      </c>
      <c r="L123" s="332">
        <f t="shared" si="50"/>
        <v>10292500</v>
      </c>
      <c r="M123" s="332">
        <f t="shared" si="50"/>
        <v>11123075</v>
      </c>
      <c r="N123" s="332">
        <f t="shared" si="50"/>
        <v>9091875</v>
      </c>
      <c r="O123" s="400">
        <f t="shared" si="50"/>
        <v>6000000</v>
      </c>
      <c r="P123" s="346">
        <f t="shared" si="44"/>
        <v>454242226</v>
      </c>
      <c r="Q123" s="347"/>
      <c r="R123" s="347"/>
      <c r="S123" s="347"/>
      <c r="T123" s="347"/>
      <c r="U123" s="347"/>
    </row>
    <row r="124" spans="1:21">
      <c r="A124" s="445" t="s">
        <v>903</v>
      </c>
      <c r="B124" s="332">
        <f t="shared" ref="B124:O124" si="51">IF(OR(B22="A",B22="C"),MAX(B123-B25-B24*B23,0),B123)</f>
        <v>0</v>
      </c>
      <c r="C124" s="332">
        <f t="shared" si="51"/>
        <v>0</v>
      </c>
      <c r="D124" s="332">
        <f t="shared" si="51"/>
        <v>0</v>
      </c>
      <c r="E124" s="332">
        <f t="shared" si="51"/>
        <v>11493594</v>
      </c>
      <c r="F124" s="332">
        <f t="shared" si="51"/>
        <v>16657534</v>
      </c>
      <c r="G124" s="332">
        <f t="shared" si="51"/>
        <v>14205000</v>
      </c>
      <c r="H124" s="332">
        <f t="shared" si="51"/>
        <v>168691723</v>
      </c>
      <c r="I124" s="332">
        <f t="shared" si="51"/>
        <v>93712500</v>
      </c>
      <c r="J124" s="332">
        <f t="shared" si="51"/>
        <v>58954000</v>
      </c>
      <c r="K124" s="332">
        <f t="shared" si="51"/>
        <v>4000000</v>
      </c>
      <c r="L124" s="332">
        <f t="shared" si="51"/>
        <v>1292500</v>
      </c>
      <c r="M124" s="332">
        <f t="shared" si="51"/>
        <v>2123075</v>
      </c>
      <c r="N124" s="332">
        <f t="shared" si="51"/>
        <v>91875</v>
      </c>
      <c r="O124" s="400">
        <f t="shared" si="51"/>
        <v>6000000</v>
      </c>
      <c r="P124" s="346">
        <f t="shared" si="44"/>
        <v>377221801</v>
      </c>
      <c r="Q124" s="347"/>
      <c r="R124" s="347"/>
      <c r="S124" s="347"/>
      <c r="T124" s="347"/>
      <c r="U124" s="347"/>
    </row>
    <row r="125" spans="1:21">
      <c r="A125" s="445" t="s">
        <v>906</v>
      </c>
      <c r="B125" s="332">
        <f>IF(OR(B22="A",B22="C"),ROUND(MAX(B124*{5;10;15;20;25;30;35}%-{0;0.25;0.75;1.65;3.25;5.85;9.85}*1000000,0),0),IF(B22="B",IF(B124&lt;2000000,0,ROUND(B124*10%,0)),ROUND(B124*20%,0)))</f>
        <v>0</v>
      </c>
      <c r="C125" s="332">
        <f>IF(OR(C22="A",C22="C"),ROUND(MAX(C124*{5;10;15;20;25;30;35}%-{0;0.25;0.75;1.65;3.25;5.85;9.85}*1000000,0),0),IF(C22="B",IF(C124&lt;2000000,0,ROUND(C124*10%,0)),ROUND(C124*20%,0)))</f>
        <v>0</v>
      </c>
      <c r="D125" s="332">
        <f>IF(OR(D22="A",D22="C"),ROUND(MAX(D124*{5;10;15;20;25;30;35}%-{0;0.25;0.75;1.65;3.25;5.85;9.85}*1000000,0),0),IF(D22="B",IF(D124&lt;2000000,0,ROUND(D124*10%,0)),ROUND(D124*20%,0)))</f>
        <v>0</v>
      </c>
      <c r="E125" s="332">
        <f>IF(OR(E22="A",E22="C"),ROUND(MAX(E124*{5;10;15;20;25;30;35}%-{0;0.25;0.75;1.65;3.25;5.85;9.85}*1000000,0),0),IF(E22="B",IF(E124&lt;2000000,0,ROUND(E124*10%,0)),ROUND(E124*20%,0)))</f>
        <v>1149359</v>
      </c>
      <c r="F125" s="332">
        <f>IF(OR(F22="A",F22="C"),ROUND(MAX(F124*{5;10;15;20;25;30;35}%-{0;0.25;0.75;1.65;3.25;5.85;9.85}*1000000,0),0),IF(F22="B",IF(F124&lt;2000000,0,ROUND(F124*10%,0)),ROUND(F124*20%,0)))</f>
        <v>1665753</v>
      </c>
      <c r="G125" s="332">
        <f>IF(OR(G22="A",G22="C"),ROUND(MAX(G124*{5;10;15;20;25;30;35}%-{0;0.25;0.75;1.65;3.25;5.85;9.85}*1000000,0),0),IF(G22="B",IF(G124&lt;2000000,0,ROUND(G124*10%,0)),ROUND(G124*20%,0)))</f>
        <v>1380750</v>
      </c>
      <c r="H125" s="332">
        <f>IF(OR(H22="A",H22="C"),ROUND(MAX(H124*{5;10;15;20;25;30;35}%-{0;0.25;0.75;1.65;3.25;5.85;9.85}*1000000,0),0),IF(H22="B",IF(H124&lt;2000000,0,ROUND(H124*10%,0)),ROUND(H124*20%,0)))</f>
        <v>33738345</v>
      </c>
      <c r="I125" s="332">
        <f>IF(OR(I22="A",I22="C"),ROUND(MAX(I124*{5;10;15;20;25;30;35}%-{0;0.25;0.75;1.65;3.25;5.85;9.85}*1000000,0),0),IF(I22="B",IF(I124&lt;2000000,0,ROUND(I124*10%,0)),ROUND(I124*20%,0)))</f>
        <v>18742500</v>
      </c>
      <c r="J125" s="332">
        <f>IF(OR(J22="A",J22="C"),ROUND(MAX(J124*{5;10;15;20;25;30;35}%-{0;0.25;0.75;1.65;3.25;5.85;9.85}*1000000,0),0),IF(J22="B",IF(J124&lt;2000000,0,ROUND(J124*10%,0)),ROUND(J124*20%,0)))</f>
        <v>11836200</v>
      </c>
      <c r="K125" s="332">
        <f>IF(OR(K22="A",K22="C"),ROUND(MAX(K124*{5;10;15;20;25;30;35}%-{0;0.25;0.75;1.65;3.25;5.85;9.85}*1000000,0),0),IF(K22="B",IF(K124&lt;2000000,0,ROUND(K124*10%,0)),ROUND(K124*20%,0)))</f>
        <v>200000</v>
      </c>
      <c r="L125" s="332">
        <f>IF(OR(L22="A",L22="C"),ROUND(MAX(L124*{5;10;15;20;25;30;35}%-{0;0.25;0.75;1.65;3.25;5.85;9.85}*1000000,0),0),IF(L22="B",IF(L124&lt;2000000,0,ROUND(L124*10%,0)),ROUND(L124*20%,0)))</f>
        <v>64625</v>
      </c>
      <c r="M125" s="332">
        <f>IF(OR(M22="A",M22="C"),ROUND(MAX(M124*{5;10;15;20;25;30;35}%-{0;0.25;0.75;1.65;3.25;5.85;9.85}*1000000,0),0),IF(M22="B",IF(M124&lt;2000000,0,ROUND(M124*10%,0)),ROUND(M124*20%,0)))</f>
        <v>106154</v>
      </c>
      <c r="N125" s="332">
        <f>IF(OR(N22="A",N22="C"),ROUND(MAX(N124*{5;10;15;20;25;30;35}%-{0;0.25;0.75;1.65;3.25;5.85;9.85}*1000000,0),0),IF(N22="B",IF(N124&lt;2000000,0,ROUND(N124*10%,0)),ROUND(N124*20%,0)))</f>
        <v>4594</v>
      </c>
      <c r="O125" s="400">
        <f>IF(OR(O22="A",O22="C"),ROUND(MAX(O124*{5;10;15;20;25;30;35}%-{0;0.25;0.75;1.65;3.25;5.85;9.85}*1000000,0),0),IF(O22="B",IF(O124&lt;2000000,0,ROUND(O124*10%,0)),ROUND(O124*20%,0)))</f>
        <v>600000</v>
      </c>
      <c r="P125" s="346">
        <f t="shared" si="44"/>
        <v>69488280</v>
      </c>
      <c r="Q125" s="347"/>
      <c r="R125" s="347"/>
      <c r="S125" s="347"/>
      <c r="T125" s="347"/>
      <c r="U125" s="347"/>
    </row>
    <row r="126" spans="1:21">
      <c r="A126" s="445" t="s">
        <v>922</v>
      </c>
      <c r="B126" s="332">
        <f>B121+'UAT5-May'!B91</f>
        <v>70048554</v>
      </c>
      <c r="C126" s="332">
        <f>C121+'UAT5-May'!C91</f>
        <v>66740977</v>
      </c>
      <c r="D126" s="332">
        <f>D121+'UAT5-May'!D91</f>
        <v>61015899</v>
      </c>
      <c r="E126" s="332">
        <f>E121+'UAT5-May'!E91</f>
        <v>145035604</v>
      </c>
      <c r="F126" s="332">
        <f>F121+'UAT5-May'!F91</f>
        <v>106276472</v>
      </c>
      <c r="G126" s="332">
        <f>G121+'UAT5-May'!G91</f>
        <v>313267500</v>
      </c>
      <c r="H126" s="332">
        <f>H121+'UAT5-May'!H91</f>
        <v>982492736</v>
      </c>
      <c r="I126" s="332">
        <f>I121+'UAT5-May'!I91</f>
        <v>639526065.86210001</v>
      </c>
      <c r="J126" s="332">
        <f>J121+'UAT5-May'!J91</f>
        <v>335725262</v>
      </c>
      <c r="K126" s="332">
        <f>K121+'UAT5-May'!K91</f>
        <v>65000000</v>
      </c>
      <c r="L126" s="332">
        <f>L121+'UAT5-May'!L91</f>
        <v>450689000</v>
      </c>
      <c r="M126" s="332">
        <f>M121+'UAT5-May'!M91</f>
        <v>48623075</v>
      </c>
      <c r="N126" s="332">
        <f>N121+'UAT5-May'!N91</f>
        <v>54091875</v>
      </c>
      <c r="O126" s="400">
        <f>O121+'UAT5-May'!O91</f>
        <v>26000000</v>
      </c>
      <c r="P126" s="346">
        <f t="shared" si="44"/>
        <v>3364533019.8621001</v>
      </c>
      <c r="Q126" s="380"/>
      <c r="R126" s="347"/>
      <c r="S126" s="347"/>
      <c r="T126" s="347"/>
      <c r="U126" s="347"/>
    </row>
    <row r="127" spans="1:21">
      <c r="A127" s="445" t="s">
        <v>488</v>
      </c>
      <c r="B127" s="332">
        <f>B125+'UAT5-May'!B92</f>
        <v>359065</v>
      </c>
      <c r="C127" s="332">
        <f>C125+'UAT5-May'!C92</f>
        <v>0</v>
      </c>
      <c r="D127" s="332">
        <f>D125+'UAT5-May'!D92</f>
        <v>161125</v>
      </c>
      <c r="E127" s="332">
        <f>E125+'UAT5-May'!E92</f>
        <v>14598061</v>
      </c>
      <c r="F127" s="332">
        <f>F125+'UAT5-May'!F92</f>
        <v>10627646</v>
      </c>
      <c r="G127" s="332">
        <f>G125+'UAT5-May'!G92</f>
        <v>62348875</v>
      </c>
      <c r="H127" s="332">
        <f>H125+'UAT5-May'!H92</f>
        <v>196581948</v>
      </c>
      <c r="I127" s="332">
        <f>I125+'UAT5-May'!I92</f>
        <v>127988613</v>
      </c>
      <c r="J127" s="332">
        <f>J125+'UAT5-May'!J92</f>
        <v>54997529</v>
      </c>
      <c r="K127" s="332">
        <f>K125+'UAT5-May'!K92</f>
        <v>550000</v>
      </c>
      <c r="L127" s="332">
        <f>L125+'UAT5-May'!L92</f>
        <v>85394825</v>
      </c>
      <c r="M127" s="332">
        <f>M125+'UAT5-May'!M92</f>
        <v>106154</v>
      </c>
      <c r="N127" s="332">
        <f>N125+'UAT5-May'!N92</f>
        <v>4594</v>
      </c>
      <c r="O127" s="400">
        <f>O125+'UAT5-May'!O92</f>
        <v>2600000</v>
      </c>
      <c r="P127" s="346">
        <f t="shared" si="44"/>
        <v>556318435</v>
      </c>
      <c r="Q127" s="347"/>
      <c r="R127" s="347"/>
      <c r="S127" s="347"/>
      <c r="T127" s="347"/>
      <c r="U127" s="347"/>
    </row>
    <row r="128" spans="1:21">
      <c r="A128" s="445" t="s">
        <v>489</v>
      </c>
      <c r="B128" s="332">
        <f>B122+'UAT5-May'!B93</f>
        <v>5103000</v>
      </c>
      <c r="C128" s="332">
        <f>C122+'UAT5-May'!C93</f>
        <v>4652550</v>
      </c>
      <c r="D128" s="332">
        <f>D122+'UAT5-May'!D93</f>
        <v>1237500</v>
      </c>
      <c r="E128" s="332">
        <f>E122+'UAT5-May'!E93</f>
        <v>5880000</v>
      </c>
      <c r="F128" s="332">
        <f>F122+'UAT5-May'!F93</f>
        <v>0</v>
      </c>
      <c r="G128" s="332">
        <f>G122+'UAT5-May'!G93</f>
        <v>0</v>
      </c>
      <c r="H128" s="332">
        <f>H122+'UAT5-May'!H93</f>
        <v>3429000</v>
      </c>
      <c r="I128" s="332">
        <f>I122+'UAT5-May'!I93</f>
        <v>3012000</v>
      </c>
      <c r="J128" s="332">
        <f>J122+'UAT5-May'!J93</f>
        <v>20624000</v>
      </c>
      <c r="K128" s="332">
        <f>K122+'UAT5-May'!K93</f>
        <v>0</v>
      </c>
      <c r="L128" s="332">
        <f>L122+'UAT5-May'!L93</f>
        <v>24273500</v>
      </c>
      <c r="M128" s="332">
        <f>M122+'UAT5-May'!M93</f>
        <v>0</v>
      </c>
      <c r="N128" s="332">
        <f>N122+'UAT5-May'!N93</f>
        <v>0</v>
      </c>
      <c r="O128" s="400">
        <f>O122+'UAT5-May'!O93</f>
        <v>0</v>
      </c>
      <c r="P128" s="346">
        <f t="shared" si="44"/>
        <v>68211550</v>
      </c>
      <c r="Q128" s="347"/>
      <c r="R128" s="347"/>
      <c r="S128" s="347"/>
      <c r="T128" s="347"/>
      <c r="U128" s="347"/>
    </row>
    <row r="129" spans="1:21">
      <c r="A129" s="412"/>
      <c r="B129" s="14"/>
      <c r="C129" s="7"/>
      <c r="D129" s="7"/>
      <c r="E129" s="322"/>
      <c r="F129" s="7"/>
      <c r="G129" s="7"/>
      <c r="H129" s="7"/>
      <c r="I129" s="7"/>
      <c r="J129" s="7"/>
      <c r="K129" s="322"/>
      <c r="L129" s="322"/>
      <c r="M129" s="322"/>
      <c r="N129" s="322"/>
      <c r="O129" s="381"/>
      <c r="P129" s="346"/>
      <c r="Q129" s="347"/>
      <c r="R129" s="347"/>
      <c r="S129" s="347"/>
      <c r="T129" s="347"/>
      <c r="U129" s="347"/>
    </row>
    <row r="130" spans="1:21" ht="15.6">
      <c r="A130" s="411" t="s">
        <v>825</v>
      </c>
      <c r="B130" s="14"/>
      <c r="C130" s="7"/>
      <c r="D130" s="7"/>
      <c r="E130" s="322"/>
      <c r="F130" s="7"/>
      <c r="G130" s="7"/>
      <c r="H130" s="7"/>
      <c r="I130" s="7"/>
      <c r="J130" s="7"/>
      <c r="K130" s="322"/>
      <c r="L130" s="322"/>
      <c r="M130" s="322"/>
      <c r="N130" s="322"/>
      <c r="O130" s="381"/>
      <c r="P130" s="346"/>
      <c r="Q130" s="347"/>
      <c r="R130" s="380"/>
      <c r="S130" s="380"/>
      <c r="T130" s="380"/>
      <c r="U130" s="380"/>
    </row>
    <row r="131" spans="1:21">
      <c r="A131" s="445" t="s">
        <v>432</v>
      </c>
      <c r="B131" s="549">
        <v>160</v>
      </c>
      <c r="C131" s="549">
        <v>144</v>
      </c>
      <c r="D131" s="601">
        <f>IF(OR(D13="S",D13="C"),0,IF(OR(D13="1",D13="3"),ROUND(20*8*(_xlfn.DAYS(D12,'New Hire'!E7)+1)/365,0),ROUND(20*E25/365*(_xlfn.DAYS(D12,'New Hire'!E7)+1),0)))</f>
        <v>66</v>
      </c>
      <c r="E131" s="549">
        <v>160</v>
      </c>
      <c r="F131" s="549">
        <v>128</v>
      </c>
      <c r="G131" s="549">
        <v>0</v>
      </c>
      <c r="H131" s="549">
        <v>153</v>
      </c>
      <c r="I131" s="549">
        <v>0</v>
      </c>
      <c r="J131" s="549">
        <v>89</v>
      </c>
      <c r="K131" s="549">
        <v>160</v>
      </c>
      <c r="L131" s="549">
        <v>160</v>
      </c>
      <c r="M131" s="549">
        <v>160</v>
      </c>
      <c r="N131" s="549">
        <v>160</v>
      </c>
      <c r="O131" s="550">
        <f>'UAT5-May'!O96</f>
        <v>107</v>
      </c>
      <c r="P131" s="478">
        <v>1540</v>
      </c>
      <c r="Q131" s="347"/>
      <c r="R131" s="347"/>
      <c r="S131" s="347"/>
      <c r="T131" s="347"/>
      <c r="U131" s="347"/>
    </row>
    <row r="132" spans="1:21">
      <c r="A132" s="445" t="s">
        <v>433</v>
      </c>
      <c r="B132" s="549">
        <v>80</v>
      </c>
      <c r="C132" s="549">
        <v>72</v>
      </c>
      <c r="D132" s="601">
        <f>IF(OR(D13="S",D13="C"),0,IF(OR(D13="1",D13="3"),ROUND(10*8*(_xlfn.DAYS(D12,'New Hire'!E7)+1)/365,0),ROUND(10*E25/365*(_xlfn.DAYS(D12,'New Hire'!E7)+1),0)))</f>
        <v>33</v>
      </c>
      <c r="E132" s="549">
        <v>80</v>
      </c>
      <c r="F132" s="549">
        <v>64</v>
      </c>
      <c r="G132" s="549">
        <v>0</v>
      </c>
      <c r="H132" s="549">
        <v>76</v>
      </c>
      <c r="I132" s="549">
        <v>0</v>
      </c>
      <c r="J132" s="549">
        <v>44</v>
      </c>
      <c r="K132" s="549">
        <v>80</v>
      </c>
      <c r="L132" s="549">
        <v>80</v>
      </c>
      <c r="M132" s="549">
        <v>80</v>
      </c>
      <c r="N132" s="549">
        <v>80</v>
      </c>
      <c r="O132" s="550">
        <f>'UAT5-May'!O97</f>
        <v>54</v>
      </c>
      <c r="P132" s="478">
        <v>769</v>
      </c>
      <c r="Q132" s="347"/>
      <c r="R132" s="347"/>
      <c r="S132" s="347"/>
      <c r="T132" s="347"/>
      <c r="U132" s="347"/>
    </row>
    <row r="133" spans="1:21">
      <c r="A133" s="445" t="s">
        <v>434</v>
      </c>
      <c r="B133" s="549">
        <v>0</v>
      </c>
      <c r="C133" s="549">
        <v>24.21</v>
      </c>
      <c r="D133" s="549">
        <v>0</v>
      </c>
      <c r="E133" s="549">
        <v>0</v>
      </c>
      <c r="F133" s="549">
        <v>0</v>
      </c>
      <c r="G133" s="549">
        <v>0</v>
      </c>
      <c r="H133" s="549">
        <v>0</v>
      </c>
      <c r="I133" s="549">
        <v>0</v>
      </c>
      <c r="J133" s="549">
        <v>0</v>
      </c>
      <c r="K133" s="549">
        <v>0</v>
      </c>
      <c r="L133" s="549">
        <v>0</v>
      </c>
      <c r="M133" s="549">
        <v>0</v>
      </c>
      <c r="N133" s="549">
        <v>0</v>
      </c>
      <c r="O133" s="550">
        <v>0</v>
      </c>
      <c r="P133" s="478">
        <v>0</v>
      </c>
      <c r="Q133" s="347"/>
      <c r="R133" s="347"/>
      <c r="S133" s="347"/>
      <c r="T133" s="347"/>
      <c r="U133" s="347"/>
    </row>
    <row r="134" spans="1:21">
      <c r="A134" s="445" t="s">
        <v>435</v>
      </c>
      <c r="B134" s="549">
        <v>0</v>
      </c>
      <c r="C134" s="549">
        <v>0</v>
      </c>
      <c r="D134" s="549">
        <v>0</v>
      </c>
      <c r="E134" s="549">
        <v>0</v>
      </c>
      <c r="F134" s="549">
        <v>0</v>
      </c>
      <c r="G134" s="549">
        <v>0</v>
      </c>
      <c r="H134" s="549">
        <v>0</v>
      </c>
      <c r="I134" s="549">
        <v>0</v>
      </c>
      <c r="J134" s="549">
        <v>0</v>
      </c>
      <c r="K134" s="549">
        <v>0</v>
      </c>
      <c r="L134" s="549">
        <v>0</v>
      </c>
      <c r="M134" s="549">
        <v>0</v>
      </c>
      <c r="N134" s="549">
        <v>0</v>
      </c>
      <c r="O134" s="550">
        <v>0</v>
      </c>
      <c r="P134" s="478">
        <v>0</v>
      </c>
      <c r="Q134" s="347"/>
      <c r="R134" s="347"/>
      <c r="S134" s="347"/>
      <c r="T134" s="347"/>
      <c r="U134" s="347"/>
    </row>
    <row r="135" spans="1:21">
      <c r="A135" s="445" t="s">
        <v>436</v>
      </c>
      <c r="B135" s="560">
        <f t="shared" ref="B135:O135" si="52">SUM(B92:B95)</f>
        <v>14.08</v>
      </c>
      <c r="C135" s="560">
        <f t="shared" si="52"/>
        <v>0</v>
      </c>
      <c r="D135" s="560">
        <f t="shared" si="52"/>
        <v>0</v>
      </c>
      <c r="E135" s="560">
        <f t="shared" si="52"/>
        <v>0</v>
      </c>
      <c r="F135" s="560">
        <f t="shared" si="52"/>
        <v>0</v>
      </c>
      <c r="G135" s="560">
        <f t="shared" si="52"/>
        <v>0</v>
      </c>
      <c r="H135" s="560">
        <f t="shared" si="52"/>
        <v>0</v>
      </c>
      <c r="I135" s="560">
        <f t="shared" si="52"/>
        <v>0</v>
      </c>
      <c r="J135" s="560">
        <f t="shared" si="52"/>
        <v>0</v>
      </c>
      <c r="K135" s="560">
        <f t="shared" si="52"/>
        <v>0</v>
      </c>
      <c r="L135" s="560">
        <f t="shared" si="52"/>
        <v>0</v>
      </c>
      <c r="M135" s="560">
        <f t="shared" si="52"/>
        <v>0</v>
      </c>
      <c r="N135" s="560">
        <f t="shared" si="52"/>
        <v>0</v>
      </c>
      <c r="O135" s="560">
        <f t="shared" si="52"/>
        <v>0</v>
      </c>
      <c r="P135" s="478">
        <v>0</v>
      </c>
      <c r="Q135" s="347"/>
      <c r="R135" s="347"/>
      <c r="S135" s="347"/>
      <c r="T135" s="347"/>
      <c r="U135" s="347"/>
    </row>
    <row r="136" spans="1:21">
      <c r="A136" s="445"/>
      <c r="F136" s="5"/>
      <c r="G136" s="5"/>
      <c r="H136" s="5"/>
      <c r="I136" s="5"/>
      <c r="P136" s="347"/>
      <c r="Q136" s="347"/>
      <c r="R136" s="347"/>
      <c r="S136" s="347"/>
      <c r="T136" s="347"/>
      <c r="U136" s="347"/>
    </row>
    <row r="137" spans="1:21" ht="15.6">
      <c r="A137" s="411" t="s">
        <v>437</v>
      </c>
      <c r="Q137" s="347"/>
      <c r="R137" s="347"/>
      <c r="S137" s="347"/>
      <c r="T137" s="347"/>
      <c r="U137" s="347"/>
    </row>
    <row r="138" spans="1:21">
      <c r="A138" s="6" t="s">
        <v>863</v>
      </c>
      <c r="B138" s="551">
        <f>IF(OR(B13="S",B13="C"),0,IF(OR(B13="1",B13="3"),ROUND(20*8*(B19+B20)/365,5),ROUND(20*'New Hire'!C24*(B19+B20)/365,5)))+'UAT5-May'!B103</f>
        <v>79.342449999999999</v>
      </c>
      <c r="C138" s="551">
        <f>IF(OR(C13="S",C13="C"),0,IF(OR(C13="1",C13="3"),ROUND(20*8*(C19+C20)/365,5),ROUND(20*'New Hire'!D24*(C19+C20)/365,5)))+'UAT5-May'!C103</f>
        <v>35.704120000000003</v>
      </c>
      <c r="D138" s="551">
        <f>IF(OR(D13="S",D13="C"),0,IF(OR(D13="1",D13="3"),ROUND(20*8*(D19+D20)/365,5),ROUND(20*'New Hire'!E24*(D19+D20)/365,5)))+'UAT5-May'!D103</f>
        <v>66.191770000000005</v>
      </c>
      <c r="E138" s="551">
        <f>IF(OR(E13="S",E13="C"),0,IF(OR(E13="1",E13="3"),ROUND(20*8*(E19+E20)/365,5),ROUND(20*'New Hire'!F24*(E19+E20)/365,5)))+'UAT5-May'!E103</f>
        <v>79.342449999999999</v>
      </c>
      <c r="F138" s="551">
        <f>IF(OR(F13="S",F13="C"),0,IF(OR(F13="1",F13="3"),ROUND(20*8*(F19+F20)/365,5),ROUND(20*'New Hire'!G24*(F19+F20)/365,5)))+'UAT5-May'!F103</f>
        <v>63.473969999999994</v>
      </c>
      <c r="G138" s="551">
        <f>IF(OR(G13="S",G13="C"),0,IF(OR(G13="1",G13="3"),ROUND(20*8*(G19+G20)/365,5),ROUND(20*'New Hire'!H24*(G19+G20)/365,5)))+'UAT5-May'!G103</f>
        <v>0</v>
      </c>
      <c r="H138" s="551">
        <f>IF(OR(H13="S",H13="C"),0,IF(OR(H13="1",H13="3"),ROUND(20*8*(H19+H20)/365,5),ROUND(20*'New Hire'!I24*(H19+H20)/365,5)))+'UAT5-May'!H103</f>
        <v>39.671230000000001</v>
      </c>
      <c r="I138" s="551">
        <f>IF(OR(I13="S",I13="C"),0,IF(OR(I13="1",I13="3"),ROUND(20*8*(I19+I20)/365,5),ROUND(20*'New Hire'!J24*(I19+I20)/365,5)))+'UAT5-May'!I103</f>
        <v>0</v>
      </c>
      <c r="J138" s="551">
        <f>IF(OR(J13="S",J13="C"),0,IF(OR(J13="1",J13="3"),ROUND(20*8*(J19+J20)/365,5),ROUND(20*'New Hire'!K24*(J19+J20)/365,5)))+'UAT5-May'!J103</f>
        <v>20.120549999999998</v>
      </c>
      <c r="K138" s="551">
        <f>IF(OR(K13="S",K13="C"),0,IF(OR(K13="1",K13="3"),ROUND(20*8*(K19+K20)/365,5),ROUND(20*'New Hire'!L24*(K19+K20)/365,5)))+'UAT5-May'!K103</f>
        <v>79.342449999999999</v>
      </c>
      <c r="L138" s="551">
        <f>IF(OR(L13="S",L13="C"),0,IF(OR(L13="1",L13="3"),ROUND(20*8*(L19+L20)/365,5),ROUND(20*'New Hire'!M24*(L19+L20)/365,5)))+'UAT5-May'!L103</f>
        <v>79.342449999999999</v>
      </c>
      <c r="M138" s="551">
        <f>IF(OR(M13="S",M13="C"),0,IF(OR(M13="1",M13="3"),ROUND(20*8*(M19+M20)/365,5),ROUND(20*'New Hire'!N24*(M19+M20)/365,5)))+'UAT5-May'!M103</f>
        <v>79.342449999999999</v>
      </c>
      <c r="N138" s="551">
        <f>IF(OR(N13="S",N13="C"),0,IF(OR(N13="1",N13="3"),ROUND(20*8*(N19+N20)/365,5),ROUND(20*'New Hire'!O24*(N19+N20)/365,5)))+'UAT5-May'!N103</f>
        <v>79.342449999999999</v>
      </c>
      <c r="O138" s="551">
        <f>IF(OR(O13="S",O13="C"),0,IF(OR(O13="1",O13="3"),ROUND(20*8*(O19+O20)/365,5),ROUND(20*'New Hire'!P24*(O19+O20)/365,5)))+'UAT5-May'!O103</f>
        <v>26.739719999999998</v>
      </c>
      <c r="Q138" s="347"/>
      <c r="R138" s="347"/>
      <c r="S138" s="347"/>
      <c r="T138" s="347"/>
      <c r="U138" s="347"/>
    </row>
    <row r="139" spans="1:21">
      <c r="A139" s="6" t="s">
        <v>864</v>
      </c>
      <c r="B139" s="552">
        <f>IF(OR(B13="S",B13="C"),0,IF(OR(B13="1",B13="3"),ROUND(10*8*(B19+B20)/365,5),ROUND(10*'New Hire'!C24*(B19+B20)/365,5)))+'UAT5-May'!B104</f>
        <v>39.671230000000001</v>
      </c>
      <c r="C139" s="552">
        <f>IF(OR(C13="S",C13="C"),0,IF(OR(C13="1",C13="3"),ROUND(10*8*(C19+C20)/365,5),ROUND(10*'New Hire'!D24*(C19+C20)/365,5)))+'UAT5-May'!C104</f>
        <v>17.852029999999999</v>
      </c>
      <c r="D139" s="552">
        <f>IF(OR(D13="S",D13="C"),0,IF(OR(D13="1",D13="3"),ROUND(10*8*(D19+D20)/365,5),ROUND(10*'New Hire'!E24*(D19+D20)/365,5)))+'UAT5-May'!D104</f>
        <v>33.095890000000004</v>
      </c>
      <c r="E139" s="552">
        <f>IF(OR(E13="S",E13="C"),0,IF(OR(E13="1",E13="3"),ROUND(10*8*(E19+E20)/365,5),ROUND(10*'New Hire'!F24*(E19+E20)/365,5)))+'UAT5-May'!E104</f>
        <v>39.671230000000001</v>
      </c>
      <c r="F139" s="552">
        <f>IF(OR(F13="S",F13="C"),0,IF(OR(F13="1",F13="3"),ROUND(10*8*(F19+F20)/365,5),ROUND(10*'New Hire'!G24*(F19+F20)/365,5)))+'UAT5-May'!F104</f>
        <v>31.736989999999999</v>
      </c>
      <c r="G139" s="552">
        <f>IF(OR(G13="S",G13="C"),0,IF(OR(G13="1",G13="3"),ROUND(10*8*(G19+G20)/365,5),ROUND(10*'New Hire'!H24*(G19+G20)/365,5)))+'UAT5-May'!G104</f>
        <v>0</v>
      </c>
      <c r="H139" s="552">
        <f>IF(OR(H13="S",H13="C"),0,IF(OR(H13="1",H13="3"),ROUND(10*8*(H19+H20)/365,5),ROUND(10*'New Hire'!I24*(H19+H20)/365,5)))+'UAT5-May'!H104</f>
        <v>19.835609999999999</v>
      </c>
      <c r="I139" s="552">
        <f>IF(OR(I13="S",I13="C"),0,IF(OR(I13="1",I13="3"),ROUND(10*8*(I19+I20)/365,5),ROUND(10*'New Hire'!J24*(I19+I20)/365,5)))+'UAT5-May'!I104</f>
        <v>0</v>
      </c>
      <c r="J139" s="552">
        <f>IF(OR(J13="S",J13="C"),0,IF(OR(J13="1",J13="3"),ROUND(10*8*(J19+J20)/365,5),ROUND(10*'New Hire'!K24*(J19+J20)/365,5)))+'UAT5-May'!J104</f>
        <v>10.060279999999999</v>
      </c>
      <c r="K139" s="552">
        <f>IF(OR(K13="S",K13="C"),0,IF(OR(K13="1",K13="3"),ROUND(10*8*(K19+K20)/365,5),ROUND(10*'New Hire'!L24*(K19+K20)/365,5)))+'UAT5-May'!K104</f>
        <v>39.671230000000001</v>
      </c>
      <c r="L139" s="552">
        <f>IF(OR(L13="S",L13="C"),0,IF(OR(L13="1",L13="3"),ROUND(10*8*(L19+L20)/365,5),ROUND(10*'New Hire'!M24*(L19+L20)/365,5)))+'UAT5-May'!L104</f>
        <v>39.671230000000001</v>
      </c>
      <c r="M139" s="552">
        <f>IF(OR(M13="S",M13="C"),0,IF(OR(M13="1",M13="3"),ROUND(10*8*(M19+M20)/365,5),ROUND(10*'New Hire'!N24*(M19+M20)/365,5)))+'UAT5-May'!M104</f>
        <v>39.671230000000001</v>
      </c>
      <c r="N139" s="552">
        <f>IF(OR(N13="S",N13="C"),0,IF(OR(N13="1",N13="3"),ROUND(10*8*(N19+N20)/365,5),ROUND(10*'New Hire'!O24*(N19+N20)/365,5)))+'UAT5-May'!N104</f>
        <v>39.671230000000001</v>
      </c>
      <c r="O139" s="552">
        <f>IF(OR(O13="S",O13="C"),0,IF(OR(O13="1",O13="3"),ROUND(10*8*(O19+O20)/365,5),ROUND(10*'New Hire'!P24*(O19+O20)/365,5)))+'UAT5-May'!O104</f>
        <v>13.369859999999999</v>
      </c>
      <c r="R139" s="347"/>
      <c r="S139" s="347"/>
      <c r="T139" s="347"/>
      <c r="U139" s="347"/>
    </row>
    <row r="140" spans="1:21">
      <c r="A140" s="445" t="s">
        <v>829</v>
      </c>
      <c r="B140" s="551">
        <f>IF('New Hire'!C78=1,ROUND(25/10*B15%/365,5)*(B19+B20),0)+'UAT5-May'!B105</f>
        <v>0</v>
      </c>
      <c r="C140" s="551">
        <f>IF('New Hire'!D78=1,ROUND(25/10*C15%/365,5)*(C19+C20),0)+'UAT5-May'!C105</f>
        <v>0</v>
      </c>
      <c r="D140" s="551">
        <f>IF('New Hire'!E78=1,ROUND(25/10*D15%/365,5)*(D19+D20),0)+'UAT5-May'!D105</f>
        <v>0</v>
      </c>
      <c r="E140" s="551">
        <f>IF('New Hire'!F78=1,ROUND(25/10*E15%/365,5)*(E19+E20),0)+'UAT5-May'!E105</f>
        <v>0</v>
      </c>
      <c r="F140" s="551">
        <f>IF('New Hire'!G78=1,ROUND(25/10*F15%/365,5)*(F19+F20),0)+'UAT5-May'!F105</f>
        <v>1.2398500000000001</v>
      </c>
      <c r="G140" s="551">
        <f>IF('New Hire'!H78=1,ROUND(25/10*G15%/365,5)*(G19+G20),0)+'UAT5-May'!G105</f>
        <v>0</v>
      </c>
      <c r="H140" s="551">
        <f>IF('New Hire'!I78=1,ROUND(25/10*H15%/365,5)*(H19+H20),0)+'UAT5-May'!H105</f>
        <v>0</v>
      </c>
      <c r="I140" s="551">
        <f>IF('New Hire'!J78=1,ROUND(25/10*I15%/365,5)*(I19+I20),0)+'UAT5-May'!I105</f>
        <v>0</v>
      </c>
      <c r="J140" s="551">
        <f>IF('New Hire'!K78=1,ROUND(25/10*J15%/365,5)*(J19+J20),0)+'UAT5-May'!J105</f>
        <v>0</v>
      </c>
      <c r="K140" s="551">
        <f>IF('New Hire'!L78=1,ROUND(25/10*K15%/365,5)*(K19+K20),0)+'UAT5-May'!K105</f>
        <v>0</v>
      </c>
      <c r="L140" s="551">
        <f>IF('New Hire'!M78=1,ROUND(25/10*L15%/365,5)*(L19+L20),0)+'UAT5-May'!L105</f>
        <v>0</v>
      </c>
      <c r="M140" s="551">
        <f>IF('New Hire'!N78=1,ROUND(25/10*M15%/365,5)*(M19+M20),0)+'UAT5-May'!M105</f>
        <v>0</v>
      </c>
      <c r="N140" s="551">
        <f>IF('New Hire'!O78=1,ROUND(25/10*N15%/365,5)*(N19+N20),0)+'UAT5-May'!N105</f>
        <v>0</v>
      </c>
      <c r="O140" s="551">
        <f>IF('New Hire'!P78=1,ROUND(25/10*O15%/365,5)*(O19+O20),0)+'UAT5-May'!O105</f>
        <v>0</v>
      </c>
      <c r="P140" s="347"/>
      <c r="R140" s="347"/>
      <c r="S140" s="347"/>
      <c r="T140" s="347"/>
      <c r="U140" s="347"/>
    </row>
    <row r="141" spans="1:21">
      <c r="A141" s="445" t="s">
        <v>830</v>
      </c>
      <c r="B141" s="552">
        <f>IF(B13="C",0,IF('New Hire'!C78=1,0,ROUND(5/5*B15%/365,5)*(B19+B20))+'UAT5-May'!B106)</f>
        <v>0.49593999999999999</v>
      </c>
      <c r="C141" s="552">
        <f>IF(C13="C",0,IF('New Hire'!D78=1,0,ROUND(5/5*C15%/365,5)*(C19+C20))+'UAT5-May'!C106)</f>
        <v>0.24797</v>
      </c>
      <c r="D141" s="552">
        <f>IF(D13="C",0,IF('New Hire'!E78=1,0,ROUND(5/5*D15%/365,5)*(D19+D20))+'UAT5-May'!D106)</f>
        <v>0.41374</v>
      </c>
      <c r="E141" s="552">
        <f>IF(E13="C",0,IF('New Hire'!F78=1,0,ROUND(5/5*E15%/365,5)*(E19+E20))+'UAT5-May'!E106)</f>
        <v>0.49593999999999999</v>
      </c>
      <c r="F141" s="552">
        <f>IF(F13="C",0,IF('New Hire'!G78=1,0,ROUND(5/5*F15%/365,5)*(F19+F20))+'UAT5-May'!F106)</f>
        <v>0</v>
      </c>
      <c r="G141" s="552">
        <f>IF(G13="C",0,IF('New Hire'!H78=1,0,ROUND(5/5*G15%/365,5)*(G19+G20))+'UAT5-May'!G106)</f>
        <v>0</v>
      </c>
      <c r="H141" s="552">
        <f>IF(H13="C",0,IF('New Hire'!I78=1,0,ROUND(5/5*H15%/365,5)*(H19+H20))+'UAT5-May'!H106)</f>
        <v>0.24797</v>
      </c>
      <c r="I141" s="552">
        <f>IF(I13="C",0,IF('New Hire'!J78=1,0,ROUND(5/5*I15%/365,5)*(I19+I20))+'UAT5-May'!I106)</f>
        <v>0.44935999999999993</v>
      </c>
      <c r="J141" s="552">
        <f>IF(J13="C",0,IF('New Hire'!K78=1,0,ROUND(5/5*J15%/365,5)*(J19+J20))+'UAT5-May'!J106)</f>
        <v>0.20960999999999999</v>
      </c>
      <c r="K141" s="552">
        <f>IF(K13="C",0,IF('New Hire'!L78=1,0,ROUND(5/5*K15%/365,5)*(K19+K20))+'UAT5-May'!K106)</f>
        <v>0.49593999999999999</v>
      </c>
      <c r="L141" s="552">
        <f>IF(L13="C",0,IF('New Hire'!M78=1,0,ROUND(5/5*L15%/365,5)*(L19+L20))+'UAT5-May'!L106)</f>
        <v>0.49593999999999999</v>
      </c>
      <c r="M141" s="552">
        <f>IF(M13="C",0,IF('New Hire'!N78=1,0,ROUND(5/5*M15%/365,5)*(M19+M20))+'UAT5-May'!M106)</f>
        <v>0.49593999999999999</v>
      </c>
      <c r="N141" s="552">
        <f>IF(N13="C",0,IF('New Hire'!O78=1,0,ROUND(5/5*N15%/365,5)*(N19+N20))+'UAT5-May'!N106)</f>
        <v>0.49593999999999999</v>
      </c>
      <c r="O141" s="552">
        <f>IF(O13="C",0,IF('New Hire'!P78=1,0,ROUND(5/5*O15%/365,5)*(O19+O20))+'UAT5-May'!O106)</f>
        <v>0.16713999999999998</v>
      </c>
      <c r="R141" s="347"/>
      <c r="S141" s="347"/>
      <c r="T141" s="347"/>
      <c r="U141" s="347"/>
    </row>
    <row r="142" spans="1:21">
      <c r="A142" s="445"/>
      <c r="B142" s="549"/>
      <c r="C142" s="549"/>
      <c r="D142" s="549"/>
      <c r="E142" s="549"/>
      <c r="F142" s="549"/>
      <c r="G142" s="549"/>
      <c r="H142" s="549"/>
      <c r="I142" s="549"/>
      <c r="J142" s="549"/>
      <c r="K142" s="549"/>
      <c r="L142" s="549"/>
      <c r="M142" s="549"/>
      <c r="N142" s="549"/>
      <c r="O142" s="549"/>
      <c r="R142" s="347"/>
      <c r="S142" s="347"/>
      <c r="T142" s="347"/>
      <c r="U142" s="347"/>
    </row>
    <row r="143" spans="1:21" ht="15.6">
      <c r="A143" s="411" t="s">
        <v>629</v>
      </c>
    </row>
    <row r="144" spans="1:21">
      <c r="A144" s="445" t="s">
        <v>479</v>
      </c>
      <c r="B144" s="452">
        <f>'New Hire'!C32</f>
        <v>5000000</v>
      </c>
      <c r="C144" s="452">
        <f>'New Hire'!D32</f>
        <v>4500000</v>
      </c>
      <c r="D144" s="452">
        <f>'New Hire'!E32</f>
        <v>7000000</v>
      </c>
      <c r="E144" s="452">
        <f>'New Hire'!F32</f>
        <v>9000000</v>
      </c>
      <c r="F144" s="452">
        <f>'New Hire'!G32</f>
        <v>14000000</v>
      </c>
      <c r="H144" s="452">
        <f>'New Hire'!I32</f>
        <v>5000</v>
      </c>
      <c r="I144" s="452">
        <f>'New Hire'!J32</f>
        <v>4000</v>
      </c>
      <c r="J144" s="452">
        <f>'New Hire'!K32</f>
        <v>50000000</v>
      </c>
      <c r="K144" s="452">
        <f>'New Hire'!L32</f>
        <v>8000000</v>
      </c>
      <c r="L144" s="452">
        <f>'New Hire'!M32</f>
        <v>90000000</v>
      </c>
      <c r="M144" s="452">
        <f>'New Hire'!N32</f>
        <v>5000000</v>
      </c>
      <c r="N144" s="452">
        <f>'New Hire'!O32</f>
        <v>6500000</v>
      </c>
      <c r="O144" s="452">
        <v>6000000</v>
      </c>
    </row>
    <row r="145" spans="1:15">
      <c r="A145" s="491" t="s">
        <v>730</v>
      </c>
      <c r="B145" s="483">
        <v>7000000</v>
      </c>
      <c r="C145" s="483">
        <v>6200000</v>
      </c>
      <c r="D145" s="483">
        <v>7000000</v>
      </c>
      <c r="E145" s="483">
        <v>11000000</v>
      </c>
      <c r="F145" s="483">
        <v>16000000</v>
      </c>
      <c r="G145" s="260"/>
      <c r="H145" s="483">
        <v>5500</v>
      </c>
      <c r="I145" s="483">
        <v>4200</v>
      </c>
      <c r="J145" s="483">
        <v>55000000</v>
      </c>
      <c r="K145" s="483">
        <v>10000000</v>
      </c>
      <c r="L145" s="483">
        <v>11500000</v>
      </c>
      <c r="M145" s="483">
        <v>7000000</v>
      </c>
      <c r="N145" s="483">
        <v>6500000</v>
      </c>
      <c r="O145" s="483">
        <v>6000000</v>
      </c>
    </row>
    <row r="146" spans="1:15">
      <c r="A146" s="445" t="s">
        <v>776</v>
      </c>
      <c r="B146" s="452"/>
      <c r="C146" s="452"/>
      <c r="D146" s="452"/>
      <c r="E146" s="452"/>
      <c r="F146" s="452"/>
      <c r="G146" s="452">
        <f>'New Hire'!H32</f>
        <v>200</v>
      </c>
      <c r="H146" s="452"/>
      <c r="I146" s="452"/>
      <c r="J146" s="452"/>
      <c r="K146" s="452"/>
      <c r="L146" s="452"/>
      <c r="M146" s="452"/>
      <c r="N146" s="452"/>
      <c r="O146" s="452"/>
    </row>
    <row r="147" spans="1:15">
      <c r="A147" s="491" t="s">
        <v>777</v>
      </c>
      <c r="B147" s="483"/>
      <c r="C147" s="483"/>
      <c r="D147" s="483"/>
      <c r="E147" s="483"/>
      <c r="F147" s="483"/>
      <c r="G147" s="483">
        <v>250</v>
      </c>
      <c r="H147" s="483"/>
      <c r="I147" s="483"/>
      <c r="J147" s="483"/>
      <c r="K147" s="483"/>
      <c r="L147" s="483"/>
      <c r="M147" s="483"/>
      <c r="N147" s="483"/>
      <c r="O147" s="483"/>
    </row>
    <row r="148" spans="1:15">
      <c r="A148" s="451" t="s">
        <v>496</v>
      </c>
      <c r="B148" s="452">
        <f>'New Hire'!C34</f>
        <v>500000</v>
      </c>
      <c r="C148" s="452">
        <f>'New Hire'!D34</f>
        <v>450000</v>
      </c>
      <c r="D148" s="452">
        <f>'New Hire'!E34</f>
        <v>700000</v>
      </c>
      <c r="E148" s="452">
        <f>'New Hire'!F34</f>
        <v>0</v>
      </c>
      <c r="F148" s="452">
        <f>'New Hire'!G34</f>
        <v>0</v>
      </c>
      <c r="G148" s="452">
        <f>'New Hire'!H34</f>
        <v>0</v>
      </c>
      <c r="H148" s="452">
        <f>'New Hire'!I34</f>
        <v>500</v>
      </c>
      <c r="I148" s="452">
        <f>'New Hire'!J34</f>
        <v>0</v>
      </c>
      <c r="J148" s="452">
        <f>'New Hire'!K34</f>
        <v>5000000</v>
      </c>
      <c r="K148" s="452">
        <f>'New Hire'!L34</f>
        <v>800000</v>
      </c>
      <c r="L148" s="452">
        <f>'New Hire'!M34</f>
        <v>0</v>
      </c>
      <c r="M148" s="452">
        <f>'New Hire'!N34</f>
        <v>1000000</v>
      </c>
      <c r="N148" s="452">
        <f>'New Hire'!O34</f>
        <v>1000000</v>
      </c>
      <c r="O148" s="452">
        <f>'New Hire'!P34</f>
        <v>0</v>
      </c>
    </row>
    <row r="149" spans="1:15">
      <c r="A149" s="492" t="s">
        <v>731</v>
      </c>
      <c r="B149" s="483">
        <v>700000</v>
      </c>
      <c r="C149" s="483">
        <v>620000</v>
      </c>
      <c r="D149" s="483">
        <v>700000</v>
      </c>
      <c r="E149" s="483">
        <v>0</v>
      </c>
      <c r="F149" s="483">
        <v>0</v>
      </c>
      <c r="G149" s="483">
        <v>0</v>
      </c>
      <c r="H149" s="483">
        <v>550</v>
      </c>
      <c r="I149" s="483">
        <v>0</v>
      </c>
      <c r="J149" s="483">
        <v>5500000</v>
      </c>
      <c r="K149" s="483">
        <v>1000000</v>
      </c>
      <c r="L149" s="483">
        <v>0</v>
      </c>
      <c r="M149" s="483">
        <v>1400000</v>
      </c>
      <c r="N149" s="483">
        <v>1000000</v>
      </c>
      <c r="O149" s="483">
        <v>0</v>
      </c>
    </row>
    <row r="150" spans="1:15">
      <c r="A150" s="415" t="s">
        <v>569</v>
      </c>
      <c r="B150" s="452">
        <f>'New Hire'!C36</f>
        <v>1000000</v>
      </c>
      <c r="C150" s="452">
        <f>'New Hire'!D36</f>
        <v>900000</v>
      </c>
      <c r="D150" s="452">
        <f>'New Hire'!E36</f>
        <v>1400000</v>
      </c>
      <c r="E150" s="452">
        <f>'New Hire'!F36</f>
        <v>0</v>
      </c>
      <c r="F150" s="452">
        <f>'New Hire'!G36</f>
        <v>0</v>
      </c>
      <c r="G150" s="452">
        <f>'New Hire'!H36</f>
        <v>0</v>
      </c>
      <c r="H150" s="452">
        <f>'New Hire'!I36</f>
        <v>1000</v>
      </c>
      <c r="I150" s="452">
        <f>'New Hire'!J36</f>
        <v>0</v>
      </c>
      <c r="J150" s="452">
        <f>'New Hire'!K36</f>
        <v>10000000</v>
      </c>
      <c r="K150" s="452">
        <f>'New Hire'!L36</f>
        <v>1600000</v>
      </c>
      <c r="L150" s="452">
        <f>'New Hire'!M36</f>
        <v>0</v>
      </c>
      <c r="M150" s="452">
        <f>'New Hire'!N36</f>
        <v>1500000</v>
      </c>
      <c r="N150" s="452">
        <f>'New Hire'!O36</f>
        <v>1500000</v>
      </c>
      <c r="O150" s="452">
        <f>'New Hire'!P36</f>
        <v>0</v>
      </c>
    </row>
    <row r="151" spans="1:15">
      <c r="A151" s="493" t="s">
        <v>732</v>
      </c>
      <c r="B151" s="483">
        <v>1400000</v>
      </c>
      <c r="C151" s="483">
        <v>1240000</v>
      </c>
      <c r="D151" s="483">
        <v>1400000</v>
      </c>
      <c r="E151" s="483">
        <v>0</v>
      </c>
      <c r="F151" s="483">
        <v>0</v>
      </c>
      <c r="G151" s="483">
        <v>0</v>
      </c>
      <c r="H151" s="483">
        <v>1100</v>
      </c>
      <c r="I151" s="483">
        <v>0</v>
      </c>
      <c r="J151" s="483">
        <v>11000000</v>
      </c>
      <c r="K151" s="483">
        <v>2000000</v>
      </c>
      <c r="L151" s="483">
        <v>0</v>
      </c>
      <c r="M151" s="483">
        <v>2100000</v>
      </c>
      <c r="N151" s="483">
        <v>1500000</v>
      </c>
      <c r="O151" s="483">
        <v>0</v>
      </c>
    </row>
    <row r="152" spans="1:15">
      <c r="A152" s="423" t="s">
        <v>495</v>
      </c>
      <c r="B152" s="452"/>
      <c r="C152" s="452"/>
      <c r="D152" s="452"/>
      <c r="E152" s="452"/>
      <c r="F152" s="452"/>
      <c r="G152" s="452"/>
      <c r="H152" s="452"/>
      <c r="I152" s="452"/>
      <c r="J152" s="452"/>
      <c r="K152" s="452"/>
      <c r="L152" s="452"/>
      <c r="M152" s="452"/>
      <c r="N152" s="452"/>
      <c r="O152" s="452"/>
    </row>
    <row r="153" spans="1:15">
      <c r="A153" s="412" t="s">
        <v>530</v>
      </c>
      <c r="B153" s="452"/>
      <c r="C153" s="452"/>
      <c r="D153" s="452"/>
      <c r="E153" s="452"/>
      <c r="F153" s="452"/>
      <c r="G153" s="452"/>
      <c r="H153" s="452"/>
      <c r="I153" s="452"/>
      <c r="J153" s="452"/>
      <c r="K153" s="452"/>
      <c r="L153" s="452"/>
      <c r="M153" s="452"/>
      <c r="N153" s="452"/>
      <c r="O153" s="452"/>
    </row>
    <row r="154" spans="1:15">
      <c r="A154" s="423" t="s">
        <v>598</v>
      </c>
      <c r="B154" s="452"/>
      <c r="C154" s="452"/>
      <c r="D154" s="452"/>
      <c r="E154" s="452"/>
      <c r="F154" s="452"/>
      <c r="G154" s="452"/>
      <c r="H154" s="452"/>
      <c r="I154" s="452"/>
      <c r="J154" s="452"/>
      <c r="K154" s="452"/>
      <c r="L154" s="452"/>
      <c r="M154" s="452"/>
      <c r="N154" s="452"/>
      <c r="O154" s="452"/>
    </row>
    <row r="155" spans="1:15">
      <c r="A155" s="415" t="s">
        <v>493</v>
      </c>
      <c r="B155" s="452"/>
      <c r="C155" s="452"/>
      <c r="D155" s="452"/>
      <c r="E155" s="452"/>
      <c r="F155" s="452"/>
      <c r="G155" s="452"/>
      <c r="H155" s="452"/>
      <c r="I155" s="452"/>
      <c r="J155" s="452"/>
      <c r="K155" s="452"/>
      <c r="L155" s="452"/>
      <c r="M155" s="452"/>
      <c r="N155" s="452"/>
      <c r="O155" s="452"/>
    </row>
    <row r="156" spans="1:15">
      <c r="A156" s="415" t="s">
        <v>499</v>
      </c>
      <c r="B156" s="452"/>
      <c r="C156" s="452"/>
      <c r="D156" s="452"/>
      <c r="E156" s="452"/>
      <c r="F156" s="452"/>
      <c r="G156" s="452"/>
      <c r="H156" s="452"/>
      <c r="I156" s="452"/>
      <c r="J156" s="452"/>
      <c r="K156" s="452"/>
      <c r="L156" s="452"/>
      <c r="M156" s="452"/>
      <c r="N156" s="452"/>
      <c r="O156" s="452"/>
    </row>
    <row r="157" spans="1:15">
      <c r="A157" s="6" t="s">
        <v>630</v>
      </c>
      <c r="B157" s="452"/>
      <c r="C157" s="452"/>
      <c r="D157" s="452"/>
      <c r="E157" s="452"/>
      <c r="F157" s="452"/>
      <c r="G157" s="452"/>
      <c r="H157" s="452"/>
      <c r="I157" s="452"/>
      <c r="J157" s="452"/>
      <c r="K157" s="452"/>
      <c r="L157" s="452"/>
      <c r="M157" s="452"/>
      <c r="N157" s="452"/>
      <c r="O157" s="452"/>
    </row>
    <row r="158" spans="1:15">
      <c r="A158" s="6" t="s">
        <v>631</v>
      </c>
      <c r="B158" s="452"/>
      <c r="C158" s="452"/>
      <c r="D158" s="452"/>
      <c r="E158" s="452"/>
      <c r="F158" s="452"/>
      <c r="G158" s="452"/>
      <c r="H158" s="452"/>
      <c r="I158" s="452"/>
      <c r="J158" s="452"/>
      <c r="K158" s="452"/>
      <c r="L158" s="452"/>
      <c r="M158" s="452"/>
      <c r="N158" s="452"/>
      <c r="O158" s="452"/>
    </row>
    <row r="159" spans="1:15">
      <c r="A159" s="6" t="s">
        <v>632</v>
      </c>
      <c r="B159" s="452"/>
      <c r="C159" s="452"/>
      <c r="D159" s="452"/>
      <c r="E159" s="452"/>
      <c r="F159" s="452"/>
      <c r="G159" s="452"/>
      <c r="H159" s="452"/>
      <c r="I159" s="452"/>
      <c r="J159" s="452"/>
      <c r="K159" s="452"/>
      <c r="L159" s="452"/>
      <c r="M159" s="452"/>
      <c r="N159" s="452"/>
      <c r="O159" s="452"/>
    </row>
    <row r="160" spans="1:15">
      <c r="A160" s="412" t="s">
        <v>613</v>
      </c>
      <c r="B160" s="452"/>
      <c r="C160" s="452"/>
      <c r="D160" s="452"/>
      <c r="E160" s="452"/>
      <c r="F160" s="452"/>
      <c r="G160" s="452"/>
      <c r="H160" s="452">
        <v>100</v>
      </c>
      <c r="I160" s="452">
        <v>100</v>
      </c>
      <c r="J160" s="452"/>
      <c r="K160" s="452"/>
      <c r="L160" s="452"/>
      <c r="M160" s="452"/>
      <c r="N160" s="452"/>
      <c r="O160" s="452"/>
    </row>
    <row r="161" spans="1:15">
      <c r="A161" s="412" t="s">
        <v>614</v>
      </c>
      <c r="B161" s="452"/>
      <c r="C161" s="452"/>
      <c r="D161" s="452"/>
      <c r="E161" s="452"/>
      <c r="F161" s="452"/>
      <c r="G161" s="452"/>
      <c r="H161" s="452">
        <v>200</v>
      </c>
      <c r="I161" s="452">
        <v>200</v>
      </c>
      <c r="J161" s="452"/>
      <c r="K161" s="452"/>
      <c r="L161" s="452"/>
      <c r="M161" s="452"/>
      <c r="N161" s="452"/>
      <c r="O161" s="452"/>
    </row>
    <row r="162" spans="1:15">
      <c r="A162" s="6" t="s">
        <v>633</v>
      </c>
      <c r="B162" s="452">
        <f t="shared" ref="B162:O162" si="53">IF(OR(B22="A",B22="B"),B144,(B144-B160-B161)*B106)</f>
        <v>5000000</v>
      </c>
      <c r="C162" s="452">
        <f t="shared" si="53"/>
        <v>4500000</v>
      </c>
      <c r="D162" s="452">
        <f t="shared" si="53"/>
        <v>7000000</v>
      </c>
      <c r="E162" s="452">
        <f t="shared" si="53"/>
        <v>9000000</v>
      </c>
      <c r="F162" s="452">
        <f t="shared" si="53"/>
        <v>14000000</v>
      </c>
      <c r="G162" s="452">
        <f t="shared" si="53"/>
        <v>0</v>
      </c>
      <c r="H162" s="452">
        <f t="shared" si="53"/>
        <v>0</v>
      </c>
      <c r="I162" s="452">
        <f t="shared" si="53"/>
        <v>0</v>
      </c>
      <c r="J162" s="452">
        <f t="shared" si="53"/>
        <v>50000000</v>
      </c>
      <c r="K162" s="452">
        <f t="shared" si="53"/>
        <v>8000000</v>
      </c>
      <c r="L162" s="452">
        <f t="shared" si="53"/>
        <v>90000000</v>
      </c>
      <c r="M162" s="452">
        <f t="shared" si="53"/>
        <v>5000000</v>
      </c>
      <c r="N162" s="452">
        <f t="shared" si="53"/>
        <v>6500000</v>
      </c>
      <c r="O162" s="452">
        <f t="shared" si="53"/>
        <v>6000000</v>
      </c>
    </row>
    <row r="163" spans="1:15">
      <c r="A163" s="500" t="s">
        <v>633</v>
      </c>
      <c r="B163" s="483">
        <f t="shared" ref="B163:O163" si="54">IF(OR(B22="A",B22="B"),B145,(B145-B160-B161)*B107)</f>
        <v>7000000</v>
      </c>
      <c r="C163" s="483">
        <f t="shared" si="54"/>
        <v>6200000</v>
      </c>
      <c r="D163" s="483">
        <f t="shared" si="54"/>
        <v>7000000</v>
      </c>
      <c r="E163" s="483">
        <f t="shared" si="54"/>
        <v>11000000</v>
      </c>
      <c r="F163" s="483">
        <f t="shared" si="54"/>
        <v>16000000</v>
      </c>
      <c r="G163" s="483">
        <f t="shared" si="54"/>
        <v>0</v>
      </c>
      <c r="H163" s="483">
        <f t="shared" si="54"/>
        <v>5200</v>
      </c>
      <c r="I163" s="483">
        <f t="shared" si="54"/>
        <v>3900</v>
      </c>
      <c r="J163" s="483">
        <f t="shared" si="54"/>
        <v>55000000</v>
      </c>
      <c r="K163" s="483">
        <f t="shared" si="54"/>
        <v>10000000</v>
      </c>
      <c r="L163" s="483">
        <f t="shared" si="54"/>
        <v>11500000</v>
      </c>
      <c r="M163" s="483">
        <f t="shared" si="54"/>
        <v>7000000</v>
      </c>
      <c r="N163" s="483">
        <f t="shared" si="54"/>
        <v>6500000</v>
      </c>
      <c r="O163" s="483">
        <f t="shared" si="54"/>
        <v>6000000</v>
      </c>
    </row>
    <row r="164" spans="1:15">
      <c r="A164" s="6" t="s">
        <v>635</v>
      </c>
      <c r="B164" s="452">
        <f t="shared" ref="B164:O164" si="55">IF(OR(B22="A",B22="B"),0,ROUND(B162*$B$5,0)+ROUND(B148*$B$5,0)+ROUND(B150*$B$5,0)+ROUND(B153*$B$5,0))</f>
        <v>0</v>
      </c>
      <c r="C164" s="452">
        <f t="shared" si="55"/>
        <v>0</v>
      </c>
      <c r="D164" s="452">
        <f t="shared" si="55"/>
        <v>0</v>
      </c>
      <c r="E164" s="452">
        <f t="shared" si="55"/>
        <v>0</v>
      </c>
      <c r="F164" s="452">
        <f t="shared" si="55"/>
        <v>0</v>
      </c>
      <c r="G164" s="452">
        <f t="shared" si="55"/>
        <v>0</v>
      </c>
      <c r="H164" s="452">
        <f t="shared" si="55"/>
        <v>35250000</v>
      </c>
      <c r="I164" s="452">
        <f t="shared" si="55"/>
        <v>0</v>
      </c>
      <c r="J164" s="452">
        <f t="shared" si="55"/>
        <v>0</v>
      </c>
      <c r="K164" s="452">
        <f t="shared" si="55"/>
        <v>0</v>
      </c>
      <c r="L164" s="452">
        <f t="shared" si="55"/>
        <v>0</v>
      </c>
      <c r="M164" s="452">
        <f t="shared" si="55"/>
        <v>0</v>
      </c>
      <c r="N164" s="452">
        <f t="shared" si="55"/>
        <v>0</v>
      </c>
      <c r="O164" s="452">
        <f t="shared" si="55"/>
        <v>0</v>
      </c>
    </row>
    <row r="165" spans="1:15">
      <c r="A165" s="500" t="s">
        <v>635</v>
      </c>
      <c r="B165" s="483">
        <f t="shared" ref="B165:O165" si="56">IF(OR(B22="A",B22="B"),0,ROUND(B163*$B$5,0)+ROUND(B149*$B$5,0)+ROUND(B151*$B$5,0)+ROUND(B153*$B$5,0))</f>
        <v>0</v>
      </c>
      <c r="C165" s="483">
        <f t="shared" si="56"/>
        <v>0</v>
      </c>
      <c r="D165" s="483">
        <f t="shared" si="56"/>
        <v>0</v>
      </c>
      <c r="E165" s="483">
        <f t="shared" si="56"/>
        <v>0</v>
      </c>
      <c r="F165" s="483">
        <f t="shared" si="56"/>
        <v>0</v>
      </c>
      <c r="G165" s="483">
        <f t="shared" si="56"/>
        <v>0</v>
      </c>
      <c r="H165" s="483">
        <f t="shared" si="56"/>
        <v>160975000</v>
      </c>
      <c r="I165" s="483">
        <f t="shared" si="56"/>
        <v>91650000</v>
      </c>
      <c r="J165" s="483">
        <f t="shared" si="56"/>
        <v>0</v>
      </c>
      <c r="K165" s="483">
        <f t="shared" si="56"/>
        <v>0</v>
      </c>
      <c r="L165" s="483">
        <f t="shared" si="56"/>
        <v>0</v>
      </c>
      <c r="M165" s="483">
        <f t="shared" si="56"/>
        <v>0</v>
      </c>
      <c r="N165" s="483">
        <f t="shared" si="56"/>
        <v>0</v>
      </c>
      <c r="O165" s="483">
        <f t="shared" si="56"/>
        <v>0</v>
      </c>
    </row>
    <row r="166" spans="1:15">
      <c r="A166" s="6" t="s">
        <v>665</v>
      </c>
      <c r="B166" s="5">
        <v>0</v>
      </c>
      <c r="C166" s="5">
        <v>0</v>
      </c>
      <c r="D166" s="5">
        <v>0</v>
      </c>
      <c r="E166" s="5">
        <v>0</v>
      </c>
      <c r="F166" s="5">
        <v>0</v>
      </c>
      <c r="G166" s="5">
        <v>0</v>
      </c>
      <c r="H166" s="5">
        <v>0</v>
      </c>
      <c r="I166" s="5">
        <v>0</v>
      </c>
      <c r="J166" s="5">
        <v>0</v>
      </c>
      <c r="K166" s="5">
        <v>0</v>
      </c>
      <c r="L166" s="5">
        <v>0</v>
      </c>
      <c r="M166" s="5">
        <v>0</v>
      </c>
      <c r="N166" s="5">
        <v>0</v>
      </c>
      <c r="O166" s="5">
        <v>0</v>
      </c>
    </row>
  </sheetData>
  <mergeCells count="4">
    <mergeCell ref="G6:J6"/>
    <mergeCell ref="X6:AA6"/>
    <mergeCell ref="P7:P8"/>
    <mergeCell ref="X9:AA12"/>
  </mergeCells>
  <phoneticPr fontId="104" type="noConversion"/>
  <pageMargins left="0.75" right="0.75" top="1" bottom="1" header="0.5" footer="0.5"/>
  <pageSetup paperSize="9" orientation="portrait" verticalDpi="90" r:id="rId1"/>
  <headerFooter alignWithMargins="0"/>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50"/>
  <sheetViews>
    <sheetView workbookViewId="0">
      <pane xSplit="1" ySplit="9" topLeftCell="T28" activePane="bottomRight" state="frozen"/>
      <selection pane="topRight" activeCell="B1" sqref="B1"/>
      <selection pane="bottomLeft" activeCell="A10" sqref="A10"/>
      <selection pane="bottomRight" activeCell="AB37" sqref="AB37:AB38"/>
    </sheetView>
  </sheetViews>
  <sheetFormatPr defaultRowHeight="13.8"/>
  <cols>
    <col min="1" max="1" width="31" style="5" bestFit="1" customWidth="1"/>
    <col min="2" max="5" width="10.77734375" style="5" customWidth="1"/>
    <col min="6" max="8" width="10.77734375" customWidth="1"/>
    <col min="9" max="9" width="11.6640625" bestFit="1" customWidth="1"/>
    <col min="10" max="15" width="10.77734375" customWidth="1"/>
    <col min="16" max="16" width="12.6640625" bestFit="1" customWidth="1"/>
    <col min="17" max="18" width="12.77734375" customWidth="1"/>
    <col min="19" max="21" width="10.77734375" customWidth="1"/>
    <col min="22" max="26" width="9.33203125" style="5" customWidth="1"/>
    <col min="27" max="27" width="10.77734375" style="5" bestFit="1" customWidth="1"/>
    <col min="28" max="29" width="9.33203125" style="5" customWidth="1"/>
  </cols>
  <sheetData>
    <row r="1" spans="1:29" s="3" customFormat="1" ht="20.399999999999999">
      <c r="A1" s="110" t="s">
        <v>6</v>
      </c>
      <c r="B1" s="110"/>
      <c r="C1" s="110"/>
      <c r="D1" s="110"/>
      <c r="E1" s="110"/>
      <c r="F1" s="449"/>
      <c r="L1" s="8"/>
      <c r="X1" s="1"/>
      <c r="Y1" s="1"/>
      <c r="Z1" s="1"/>
      <c r="AA1" s="1"/>
      <c r="AB1" s="1"/>
      <c r="AC1" s="1"/>
    </row>
    <row r="2" spans="1:29" s="3" customFormat="1" ht="12.75" customHeight="1">
      <c r="B2" s="116"/>
      <c r="C2" s="116"/>
      <c r="D2" s="116"/>
      <c r="E2" s="115"/>
      <c r="V2" s="22"/>
      <c r="W2" s="22"/>
      <c r="X2" s="22"/>
      <c r="Y2" s="22"/>
      <c r="Z2" s="22"/>
      <c r="AA2" s="2"/>
      <c r="AC2" s="2"/>
    </row>
    <row r="3" spans="1:29" s="3" customFormat="1" ht="30">
      <c r="A3" s="112" t="s">
        <v>1190</v>
      </c>
      <c r="B3" s="116"/>
      <c r="C3" s="116"/>
      <c r="D3" s="116"/>
      <c r="E3" s="112"/>
      <c r="V3" s="22"/>
      <c r="W3" s="22"/>
      <c r="X3" s="22"/>
      <c r="Y3" s="22"/>
      <c r="Z3" s="22"/>
      <c r="AA3" s="2"/>
      <c r="AC3" s="2"/>
    </row>
    <row r="4" spans="1:29" s="116" customFormat="1">
      <c r="A4" s="116" t="s">
        <v>541</v>
      </c>
      <c r="B4" s="367">
        <v>23205</v>
      </c>
    </row>
    <row r="5" spans="1:29" s="116" customFormat="1">
      <c r="A5" s="116" t="s">
        <v>1273</v>
      </c>
      <c r="B5" s="367">
        <v>23500</v>
      </c>
    </row>
    <row r="6" spans="1:29" s="3" customFormat="1" ht="18" customHeight="1">
      <c r="A6" s="327">
        <v>43677</v>
      </c>
      <c r="B6" s="116"/>
      <c r="C6" s="116"/>
      <c r="D6" s="116"/>
      <c r="G6" s="721" t="s">
        <v>52</v>
      </c>
      <c r="H6" s="721"/>
      <c r="I6" s="721"/>
      <c r="J6" s="721"/>
      <c r="V6" s="22"/>
      <c r="W6" s="22"/>
      <c r="X6" s="720" t="s">
        <v>65</v>
      </c>
      <c r="Y6" s="720"/>
      <c r="Z6" s="720"/>
      <c r="AA6" s="720"/>
      <c r="AB6" s="2"/>
      <c r="AC6" s="2"/>
    </row>
    <row r="7" spans="1:29" s="4" customFormat="1">
      <c r="A7" s="409"/>
      <c r="B7" s="323" t="s">
        <v>34</v>
      </c>
      <c r="C7" s="529" t="s">
        <v>35</v>
      </c>
      <c r="D7" s="324" t="s">
        <v>36</v>
      </c>
      <c r="E7" s="324" t="s">
        <v>37</v>
      </c>
      <c r="F7" s="324" t="s">
        <v>38</v>
      </c>
      <c r="G7" s="324" t="s">
        <v>39</v>
      </c>
      <c r="H7" s="324" t="s">
        <v>40</v>
      </c>
      <c r="I7" s="324" t="s">
        <v>41</v>
      </c>
      <c r="J7" s="324" t="s">
        <v>42</v>
      </c>
      <c r="K7" s="324" t="s">
        <v>43</v>
      </c>
      <c r="L7" s="324" t="s">
        <v>44</v>
      </c>
      <c r="M7" s="324" t="s">
        <v>45</v>
      </c>
      <c r="N7" s="529" t="s">
        <v>46</v>
      </c>
      <c r="O7" s="324" t="s">
        <v>47</v>
      </c>
      <c r="P7" s="731" t="s">
        <v>500</v>
      </c>
      <c r="Q7" s="349" t="s">
        <v>516</v>
      </c>
      <c r="R7" s="349" t="s">
        <v>517</v>
      </c>
      <c r="S7" s="349" t="s">
        <v>519</v>
      </c>
      <c r="T7" s="349" t="s">
        <v>521</v>
      </c>
      <c r="U7" s="349" t="s">
        <v>523</v>
      </c>
      <c r="V7" s="350"/>
      <c r="W7" s="351"/>
      <c r="X7" s="351"/>
      <c r="Y7" s="351"/>
      <c r="Z7" s="351"/>
      <c r="AA7" s="351"/>
      <c r="AB7" s="351"/>
      <c r="AC7" s="352"/>
    </row>
    <row r="8" spans="1:29" ht="15.6">
      <c r="A8" s="410"/>
      <c r="B8" s="117">
        <f>'New Hire'!C6</f>
        <v>91999901</v>
      </c>
      <c r="C8" s="530">
        <f>'New Hire'!D6</f>
        <v>91999902</v>
      </c>
      <c r="D8" s="339">
        <f>'New Hire'!E6</f>
        <v>91999903</v>
      </c>
      <c r="E8" s="339">
        <f>'New Hire'!F6</f>
        <v>91999904</v>
      </c>
      <c r="F8" s="339">
        <f>'New Hire'!G6</f>
        <v>91999905</v>
      </c>
      <c r="G8" s="339">
        <f>'New Hire'!H6</f>
        <v>91999906</v>
      </c>
      <c r="H8" s="339">
        <f>'New Hire'!I6</f>
        <v>91999907</v>
      </c>
      <c r="I8" s="339">
        <f>'New Hire'!J6</f>
        <v>91999908</v>
      </c>
      <c r="J8" s="339">
        <f>'New Hire'!K6</f>
        <v>91999909</v>
      </c>
      <c r="K8" s="339">
        <f>'New Hire'!L6</f>
        <v>91999910</v>
      </c>
      <c r="L8" s="339">
        <f>'New Hire'!M6</f>
        <v>91999911</v>
      </c>
      <c r="M8" s="339">
        <f>'New Hire'!N6</f>
        <v>91999912</v>
      </c>
      <c r="N8" s="530">
        <f>'New Hire'!O6</f>
        <v>91999913</v>
      </c>
      <c r="O8" s="339">
        <f>'New Hire'!P6</f>
        <v>91999914</v>
      </c>
      <c r="P8" s="732"/>
      <c r="Q8" s="349" t="s">
        <v>515</v>
      </c>
      <c r="R8" s="349" t="s">
        <v>518</v>
      </c>
      <c r="S8" s="349" t="s">
        <v>520</v>
      </c>
      <c r="T8" s="349" t="s">
        <v>522</v>
      </c>
      <c r="U8" s="349" t="s">
        <v>524</v>
      </c>
      <c r="V8" s="47"/>
      <c r="W8" s="48"/>
      <c r="X8" s="20"/>
      <c r="Y8" s="20"/>
      <c r="Z8" s="20"/>
      <c r="AA8" s="20"/>
      <c r="AB8" s="20"/>
      <c r="AC8" s="15"/>
    </row>
    <row r="9" spans="1:29" ht="12.75" customHeight="1">
      <c r="A9" s="411" t="s">
        <v>63</v>
      </c>
      <c r="B9" s="23"/>
      <c r="C9" s="19"/>
      <c r="D9" s="19"/>
      <c r="E9" s="20"/>
      <c r="F9" s="19"/>
      <c r="G9" s="19"/>
      <c r="H9" s="21"/>
      <c r="I9" s="19"/>
      <c r="J9" s="19"/>
      <c r="K9" s="20"/>
      <c r="L9" s="20"/>
      <c r="M9" s="20"/>
      <c r="N9" s="20"/>
      <c r="O9" s="15"/>
      <c r="P9" s="15"/>
      <c r="Q9" s="20"/>
      <c r="R9" s="20"/>
      <c r="S9" s="20"/>
      <c r="T9" s="20"/>
      <c r="U9" s="20"/>
      <c r="V9" s="25"/>
      <c r="W9" s="26"/>
      <c r="X9" s="722" t="s">
        <v>608</v>
      </c>
      <c r="Y9" s="723"/>
      <c r="Z9" s="723"/>
      <c r="AA9" s="724"/>
      <c r="AB9" s="27"/>
      <c r="AC9" s="18"/>
    </row>
    <row r="10" spans="1:29">
      <c r="A10" s="424" t="s">
        <v>480</v>
      </c>
      <c r="B10" s="385">
        <v>43647</v>
      </c>
      <c r="C10" s="385">
        <v>43647</v>
      </c>
      <c r="D10" s="385" t="s">
        <v>1189</v>
      </c>
      <c r="E10" s="385">
        <v>43647</v>
      </c>
      <c r="F10" s="385">
        <v>43647</v>
      </c>
      <c r="G10" s="385">
        <v>43647</v>
      </c>
      <c r="H10" s="385">
        <v>43647</v>
      </c>
      <c r="I10" s="385">
        <v>43647</v>
      </c>
      <c r="J10" s="385">
        <v>43647</v>
      </c>
      <c r="K10" s="385">
        <v>43647</v>
      </c>
      <c r="L10" s="385">
        <v>43647</v>
      </c>
      <c r="M10" s="385">
        <v>43647</v>
      </c>
      <c r="N10" s="385">
        <v>43647</v>
      </c>
      <c r="O10" s="386">
        <v>43647</v>
      </c>
      <c r="P10" s="15"/>
      <c r="Q10" s="20"/>
      <c r="R10" s="20"/>
      <c r="S10" s="20"/>
      <c r="T10" s="20"/>
      <c r="U10" s="20"/>
      <c r="V10" s="28"/>
      <c r="W10" s="29"/>
      <c r="X10" s="725"/>
      <c r="Y10" s="726"/>
      <c r="Z10" s="726"/>
      <c r="AA10" s="727"/>
      <c r="AB10" s="30"/>
      <c r="AC10" s="15"/>
    </row>
    <row r="11" spans="1:29" ht="12.75" customHeight="1">
      <c r="A11" s="531" t="s">
        <v>725</v>
      </c>
      <c r="B11" s="428"/>
      <c r="C11" s="428"/>
      <c r="D11" s="428"/>
      <c r="E11" s="428"/>
      <c r="F11" s="428"/>
      <c r="G11" s="428"/>
      <c r="H11" s="428"/>
      <c r="I11" s="428"/>
      <c r="J11" s="428"/>
      <c r="K11" s="428"/>
      <c r="L11" s="428"/>
      <c r="M11" s="428"/>
      <c r="N11" s="428">
        <v>43641</v>
      </c>
      <c r="O11" s="533"/>
      <c r="P11" s="15"/>
      <c r="Q11" s="20"/>
      <c r="R11" s="20"/>
      <c r="S11" s="20"/>
      <c r="T11" s="20"/>
      <c r="U11" s="20"/>
      <c r="V11" s="32"/>
      <c r="W11" s="20"/>
      <c r="X11" s="725"/>
      <c r="Y11" s="726"/>
      <c r="Z11" s="726"/>
      <c r="AA11" s="727"/>
      <c r="AB11" s="20"/>
      <c r="AC11" s="15"/>
    </row>
    <row r="12" spans="1:29" ht="12.75" customHeight="1">
      <c r="A12" s="99" t="s">
        <v>491</v>
      </c>
      <c r="B12" s="387" t="str">
        <f>'New Hire'!C10</f>
        <v>1</v>
      </c>
      <c r="C12" s="388" t="str">
        <f>'New Hire'!D10</f>
        <v>P</v>
      </c>
      <c r="D12" s="388" t="str">
        <f>'New Hire'!E10</f>
        <v>3</v>
      </c>
      <c r="E12" s="388" t="s">
        <v>964</v>
      </c>
      <c r="F12" s="388">
        <f>'New Hire'!G10</f>
        <v>4</v>
      </c>
      <c r="G12" s="388" t="str">
        <f>'New Hire'!H10</f>
        <v>C</v>
      </c>
      <c r="H12" s="388" t="str">
        <f>'New Hire'!I10</f>
        <v>I</v>
      </c>
      <c r="I12" s="388" t="str">
        <f>'New Hire'!J10</f>
        <v>S</v>
      </c>
      <c r="J12" s="388" t="str">
        <f>'New Hire'!K10</f>
        <v>P</v>
      </c>
      <c r="K12" s="388" t="str">
        <f>'New Hire'!L10</f>
        <v>1</v>
      </c>
      <c r="L12" s="388" t="str">
        <f>'New Hire'!M10</f>
        <v>1</v>
      </c>
      <c r="M12" s="388">
        <f>'New Hire'!N10</f>
        <v>3</v>
      </c>
      <c r="N12" s="388">
        <f>'New Hire'!O10</f>
        <v>3</v>
      </c>
      <c r="O12" s="656" t="s">
        <v>1234</v>
      </c>
      <c r="P12" s="15"/>
      <c r="Q12" s="20"/>
      <c r="R12" s="20"/>
      <c r="S12" s="20"/>
      <c r="T12" s="20"/>
      <c r="U12" s="20"/>
      <c r="V12" s="32"/>
      <c r="W12" s="20"/>
      <c r="X12" s="728"/>
      <c r="Y12" s="729"/>
      <c r="Z12" s="729"/>
      <c r="AA12" s="730"/>
      <c r="AB12" s="20"/>
      <c r="AC12" s="15"/>
    </row>
    <row r="13" spans="1:29">
      <c r="A13" s="99" t="s">
        <v>492</v>
      </c>
      <c r="B13" s="390" t="str">
        <f>'New Hire'!C11</f>
        <v>;P</v>
      </c>
      <c r="C13" s="391" t="str">
        <f>'New Hire'!D11</f>
        <v>;A</v>
      </c>
      <c r="D13" s="391" t="str">
        <f>'New Hire'!E11</f>
        <v>;E</v>
      </c>
      <c r="E13" s="391" t="str">
        <f>'New Hire'!F11</f>
        <v>;I</v>
      </c>
      <c r="F13" s="391" t="str">
        <f>'New Hire'!G11</f>
        <v>;P</v>
      </c>
      <c r="G13" s="391" t="str">
        <f>'New Hire'!H11</f>
        <v>;A</v>
      </c>
      <c r="H13" s="391" t="str">
        <f>'New Hire'!I11</f>
        <v>;A</v>
      </c>
      <c r="I13" s="391" t="str">
        <f>'New Hire'!J11</f>
        <v>;V</v>
      </c>
      <c r="J13" s="391" t="str">
        <f>'New Hire'!K11</f>
        <v>;P</v>
      </c>
      <c r="K13" s="391" t="str">
        <f>'New Hire'!L11</f>
        <v>;A</v>
      </c>
      <c r="L13" s="391" t="str">
        <f>'New Hire'!M11</f>
        <v>;I</v>
      </c>
      <c r="M13" s="391" t="str">
        <f>'New Hire'!N11</f>
        <v>;P</v>
      </c>
      <c r="N13" s="391" t="str">
        <f>'New Hire'!O11</f>
        <v>;I</v>
      </c>
      <c r="O13" s="392" t="str">
        <f>'New Hire'!P11</f>
        <v>;I</v>
      </c>
      <c r="P13" s="15"/>
      <c r="Q13" s="20"/>
      <c r="R13" s="20"/>
      <c r="S13" s="20"/>
      <c r="T13" s="20"/>
      <c r="U13" s="20"/>
      <c r="V13" s="23"/>
      <c r="W13" s="19"/>
      <c r="X13" s="19"/>
      <c r="Y13" s="19"/>
      <c r="Z13" s="19"/>
      <c r="AA13" s="19"/>
      <c r="AB13" s="19"/>
      <c r="AC13" s="31"/>
    </row>
    <row r="14" spans="1:29">
      <c r="A14" s="100" t="s">
        <v>477</v>
      </c>
      <c r="B14" s="394">
        <f>'New Hire'!C26</f>
        <v>100</v>
      </c>
      <c r="C14" s="338">
        <f>'New Hire'!D26</f>
        <v>50</v>
      </c>
      <c r="D14" s="338">
        <f>'New Hire'!E26</f>
        <v>100</v>
      </c>
      <c r="E14" s="338">
        <f>'New Hire'!F26</f>
        <v>100</v>
      </c>
      <c r="F14" s="338">
        <f>'New Hire'!G26</f>
        <v>100</v>
      </c>
      <c r="G14" s="338">
        <f>'New Hire'!H26</f>
        <v>100</v>
      </c>
      <c r="H14" s="338">
        <f>'New Hire'!I26</f>
        <v>50</v>
      </c>
      <c r="I14" s="338">
        <f>'New Hire'!J26</f>
        <v>100</v>
      </c>
      <c r="J14" s="338">
        <f>'New Hire'!K26</f>
        <v>50</v>
      </c>
      <c r="K14" s="338">
        <f>'New Hire'!L26</f>
        <v>100</v>
      </c>
      <c r="L14" s="338">
        <f>'New Hire'!M26</f>
        <v>100</v>
      </c>
      <c r="M14" s="338">
        <f>'New Hire'!N26</f>
        <v>100</v>
      </c>
      <c r="N14" s="338">
        <f>'New Hire'!O26</f>
        <v>100</v>
      </c>
      <c r="O14" s="395">
        <f>'New Hire'!P26</f>
        <v>100</v>
      </c>
      <c r="P14" s="15"/>
      <c r="Q14" s="20"/>
      <c r="R14" s="20"/>
      <c r="S14" s="20"/>
      <c r="T14" s="20"/>
      <c r="U14" s="20"/>
      <c r="V14" s="23"/>
      <c r="W14" s="19"/>
      <c r="X14" s="19"/>
      <c r="Y14" s="19"/>
      <c r="Z14" s="19"/>
      <c r="AA14" s="19"/>
      <c r="AB14" s="19"/>
      <c r="AC14" s="31"/>
    </row>
    <row r="15" spans="1:29">
      <c r="A15" s="424" t="s">
        <v>481</v>
      </c>
      <c r="B15" s="338">
        <f>NETWORKDAYS(B10,$A$6)</f>
        <v>23</v>
      </c>
      <c r="C15" s="338">
        <f t="shared" ref="C15:O15" si="0">NETWORKDAYS(C10,$A$6)</f>
        <v>23</v>
      </c>
      <c r="D15" s="338">
        <v>0</v>
      </c>
      <c r="E15" s="338">
        <f t="shared" si="0"/>
        <v>23</v>
      </c>
      <c r="F15" s="338">
        <f t="shared" si="0"/>
        <v>23</v>
      </c>
      <c r="G15" s="338">
        <f t="shared" si="0"/>
        <v>23</v>
      </c>
      <c r="H15" s="338">
        <f t="shared" si="0"/>
        <v>23</v>
      </c>
      <c r="I15" s="338">
        <f t="shared" si="0"/>
        <v>23</v>
      </c>
      <c r="J15" s="338">
        <f t="shared" si="0"/>
        <v>23</v>
      </c>
      <c r="K15" s="338">
        <f t="shared" si="0"/>
        <v>23</v>
      </c>
      <c r="L15" s="338">
        <f t="shared" si="0"/>
        <v>23</v>
      </c>
      <c r="M15" s="338">
        <f t="shared" si="0"/>
        <v>23</v>
      </c>
      <c r="N15" s="338">
        <f t="shared" si="0"/>
        <v>23</v>
      </c>
      <c r="O15" s="395">
        <f t="shared" si="0"/>
        <v>23</v>
      </c>
      <c r="P15" s="15"/>
      <c r="Q15" s="20"/>
      <c r="R15" s="20"/>
      <c r="S15" s="20"/>
      <c r="T15" s="20"/>
      <c r="U15" s="20"/>
      <c r="V15" s="23"/>
      <c r="W15" s="19"/>
      <c r="X15" s="19"/>
      <c r="Y15" s="19"/>
      <c r="Z15" s="19"/>
      <c r="AA15" s="19"/>
      <c r="AB15" s="19"/>
      <c r="AC15" s="31"/>
    </row>
    <row r="16" spans="1:29">
      <c r="A16" s="531" t="s">
        <v>749</v>
      </c>
      <c r="B16" s="432"/>
      <c r="C16" s="432"/>
      <c r="D16" s="432"/>
      <c r="E16" s="432"/>
      <c r="F16" s="432"/>
      <c r="G16" s="432"/>
      <c r="H16" s="432"/>
      <c r="I16" s="432"/>
      <c r="J16" s="432"/>
      <c r="K16" s="432"/>
      <c r="L16" s="432"/>
      <c r="M16" s="432"/>
      <c r="N16" s="432">
        <f>NETWORKDAYS(N11,EOMONTH(A6,-1))</f>
        <v>4</v>
      </c>
      <c r="O16" s="532"/>
      <c r="P16" s="15"/>
      <c r="Q16" s="20"/>
      <c r="R16" s="20"/>
      <c r="S16" s="20"/>
      <c r="T16" s="20"/>
      <c r="U16" s="20"/>
      <c r="V16" s="23"/>
      <c r="W16" s="19"/>
      <c r="X16" s="19"/>
      <c r="Y16" s="19"/>
      <c r="Z16" s="19"/>
      <c r="AA16" s="19"/>
      <c r="AB16" s="19"/>
      <c r="AC16" s="31"/>
    </row>
    <row r="17" spans="1:29">
      <c r="A17" s="424" t="s">
        <v>639</v>
      </c>
      <c r="B17" s="338">
        <f>NETWORKDAYS(EOMONTH($A$6,-1)+1,EOMONTH($A$6,0))</f>
        <v>23</v>
      </c>
      <c r="C17" s="338">
        <f t="shared" ref="C17:O17" si="1">NETWORKDAYS(EOMONTH($A$6,-1)+1,EOMONTH($A$6,0))</f>
        <v>23</v>
      </c>
      <c r="D17" s="338">
        <v>0</v>
      </c>
      <c r="E17" s="338">
        <f t="shared" si="1"/>
        <v>23</v>
      </c>
      <c r="F17" s="338">
        <f t="shared" si="1"/>
        <v>23</v>
      </c>
      <c r="G17" s="338">
        <f t="shared" si="1"/>
        <v>23</v>
      </c>
      <c r="H17" s="338">
        <f t="shared" si="1"/>
        <v>23</v>
      </c>
      <c r="I17" s="338">
        <f t="shared" si="1"/>
        <v>23</v>
      </c>
      <c r="J17" s="338">
        <f t="shared" si="1"/>
        <v>23</v>
      </c>
      <c r="K17" s="338">
        <f t="shared" si="1"/>
        <v>23</v>
      </c>
      <c r="L17" s="338">
        <f t="shared" si="1"/>
        <v>23</v>
      </c>
      <c r="M17" s="338">
        <f t="shared" si="1"/>
        <v>23</v>
      </c>
      <c r="N17" s="338">
        <f t="shared" si="1"/>
        <v>23</v>
      </c>
      <c r="O17" s="395">
        <f t="shared" si="1"/>
        <v>23</v>
      </c>
      <c r="P17" s="15"/>
      <c r="Q17" s="20"/>
      <c r="R17" s="20"/>
      <c r="S17" s="20"/>
      <c r="T17" s="20"/>
      <c r="U17" s="20"/>
      <c r="V17" s="23"/>
      <c r="W17" s="19"/>
      <c r="X17" s="19"/>
      <c r="Y17" s="19"/>
      <c r="Z17" s="19"/>
      <c r="AA17" s="19"/>
      <c r="AB17" s="19"/>
      <c r="AC17" s="31"/>
    </row>
    <row r="18" spans="1:29">
      <c r="A18" s="424" t="s">
        <v>513</v>
      </c>
      <c r="B18" s="335">
        <f>_xlfn.DAYS($A$6,B10)+1</f>
        <v>31</v>
      </c>
      <c r="C18" s="335">
        <f t="shared" ref="C18:O18" si="2">_xlfn.DAYS($A$6,C10)+1</f>
        <v>31</v>
      </c>
      <c r="D18" s="335">
        <v>0</v>
      </c>
      <c r="E18" s="335">
        <f t="shared" si="2"/>
        <v>31</v>
      </c>
      <c r="F18" s="335">
        <f t="shared" si="2"/>
        <v>31</v>
      </c>
      <c r="G18" s="335">
        <f t="shared" si="2"/>
        <v>31</v>
      </c>
      <c r="H18" s="335">
        <f t="shared" si="2"/>
        <v>31</v>
      </c>
      <c r="I18" s="335">
        <f t="shared" si="2"/>
        <v>31</v>
      </c>
      <c r="J18" s="335">
        <f t="shared" si="2"/>
        <v>31</v>
      </c>
      <c r="K18" s="335">
        <f t="shared" si="2"/>
        <v>31</v>
      </c>
      <c r="L18" s="335">
        <f t="shared" si="2"/>
        <v>31</v>
      </c>
      <c r="M18" s="335">
        <f t="shared" si="2"/>
        <v>31</v>
      </c>
      <c r="N18" s="335">
        <f t="shared" si="2"/>
        <v>31</v>
      </c>
      <c r="O18" s="397">
        <f t="shared" si="2"/>
        <v>31</v>
      </c>
      <c r="P18" s="15"/>
      <c r="Q18" s="20"/>
      <c r="R18" s="20"/>
      <c r="S18" s="20"/>
      <c r="T18" s="20"/>
      <c r="U18" s="20"/>
      <c r="V18" s="23"/>
      <c r="W18" s="19"/>
      <c r="X18" s="19"/>
      <c r="Y18" s="19"/>
      <c r="Z18" s="19"/>
      <c r="AA18" s="19"/>
      <c r="AB18" s="19"/>
      <c r="AC18" s="31"/>
    </row>
    <row r="19" spans="1:29">
      <c r="A19" s="531" t="s">
        <v>750</v>
      </c>
      <c r="B19" s="433"/>
      <c r="C19" s="433"/>
      <c r="D19" s="433"/>
      <c r="E19" s="433"/>
      <c r="F19" s="433"/>
      <c r="G19" s="433"/>
      <c r="H19" s="433"/>
      <c r="I19" s="433"/>
      <c r="J19" s="433"/>
      <c r="K19" s="433"/>
      <c r="L19" s="433"/>
      <c r="M19" s="433"/>
      <c r="N19" s="433">
        <f>_xlfn.DAYS(EOMONTH(A6,-1),N11)+1</f>
        <v>6</v>
      </c>
      <c r="O19" s="534"/>
      <c r="P19" s="15"/>
      <c r="Q19" s="20"/>
      <c r="R19" s="20"/>
      <c r="S19" s="20"/>
      <c r="T19" s="20"/>
      <c r="U19" s="20"/>
      <c r="V19" s="23"/>
      <c r="W19" s="19"/>
      <c r="X19" s="19"/>
      <c r="Y19" s="19"/>
      <c r="Z19" s="19"/>
      <c r="AA19" s="19"/>
      <c r="AB19" s="19"/>
      <c r="AC19" s="31"/>
    </row>
    <row r="20" spans="1:29" ht="15.6">
      <c r="A20" s="99" t="s">
        <v>533</v>
      </c>
      <c r="B20" s="336">
        <f>DATEDIF('New Hire'!C41,$A$6,"Y")</f>
        <v>9</v>
      </c>
      <c r="C20" s="337">
        <f>DATEDIF('New Hire'!D41,$A$6,"Y")</f>
        <v>13</v>
      </c>
      <c r="D20" s="337">
        <f>DATEDIF('New Hire'!E41,$A$6,"Y")</f>
        <v>0</v>
      </c>
      <c r="E20" s="337">
        <f>DATEDIF('New Hire'!F41,$A$6,"Y")</f>
        <v>4</v>
      </c>
      <c r="F20" s="337">
        <f>DATEDIF('New Hire'!G41,$A$6,"Y")</f>
        <v>9</v>
      </c>
      <c r="G20" s="337">
        <f>DATEDIF('New Hire'!H41,$A$6,"Y")</f>
        <v>0</v>
      </c>
      <c r="H20" s="337">
        <f>DATEDIF('New Hire'!I41,$A$6,"Y")</f>
        <v>14</v>
      </c>
      <c r="I20" s="337">
        <f>DATEDIF('New Hire'!J41,$A$6,"Y")</f>
        <v>0</v>
      </c>
      <c r="J20" s="337">
        <f>DATEDIF('New Hire'!K41,$A$6,"Y")</f>
        <v>0</v>
      </c>
      <c r="K20" s="337">
        <f>DATEDIF('New Hire'!L41,$A$6,"Y")</f>
        <v>9</v>
      </c>
      <c r="L20" s="337">
        <f>DATEDIF('New Hire'!M41,$A$6,"Y")</f>
        <v>4</v>
      </c>
      <c r="M20" s="337">
        <f>DATEDIF('New Hire'!N41,$A$6,"Y")</f>
        <v>0</v>
      </c>
      <c r="N20" s="337">
        <f>DATEDIF('New Hire'!O41,$A$6,"Y")</f>
        <v>11</v>
      </c>
      <c r="O20" s="393">
        <f>DATEDIF('New Hire'!P41,$A$6,"Y")</f>
        <v>0</v>
      </c>
      <c r="P20" s="15"/>
      <c r="Q20" s="20"/>
      <c r="R20" s="20"/>
      <c r="S20" s="20"/>
      <c r="T20" s="20"/>
      <c r="U20" s="20"/>
      <c r="V20" s="40"/>
      <c r="W20" s="41"/>
      <c r="X20" s="19"/>
      <c r="Y20" s="19"/>
      <c r="Z20" s="19"/>
      <c r="AA20" s="19"/>
      <c r="AB20" s="16"/>
      <c r="AC20" s="17"/>
    </row>
    <row r="21" spans="1:29">
      <c r="A21" s="99" t="s">
        <v>566</v>
      </c>
      <c r="B21" s="336" t="str">
        <f>'New Hire'!C54</f>
        <v>A</v>
      </c>
      <c r="C21" s="337" t="str">
        <f>'New Hire'!D54</f>
        <v>A</v>
      </c>
      <c r="D21" s="337" t="str">
        <f>'New Hire'!E54</f>
        <v>A</v>
      </c>
      <c r="E21" s="337" t="str">
        <f>'New Hire'!F54</f>
        <v>B</v>
      </c>
      <c r="F21" s="337" t="str">
        <f>'New Hire'!G54</f>
        <v>B</v>
      </c>
      <c r="G21" s="337" t="str">
        <f>'New Hire'!H54</f>
        <v>C</v>
      </c>
      <c r="H21" s="337" t="str">
        <f>'New Hire'!I54</f>
        <v>D</v>
      </c>
      <c r="I21" s="337" t="str">
        <f>'New Hire'!J54</f>
        <v>D</v>
      </c>
      <c r="J21" s="337" t="str">
        <f>'New Hire'!K54</f>
        <v>A</v>
      </c>
      <c r="K21" s="337" t="str">
        <f>'New Hire'!L54</f>
        <v>A</v>
      </c>
      <c r="L21" s="337" t="str">
        <f>'New Hire'!M54</f>
        <v>A</v>
      </c>
      <c r="M21" s="337" t="str">
        <f>'New Hire'!N54</f>
        <v>A</v>
      </c>
      <c r="N21" s="337" t="str">
        <f>'New Hire'!O54</f>
        <v>A</v>
      </c>
      <c r="O21" s="393" t="str">
        <f>'New Hire'!P54</f>
        <v>B</v>
      </c>
      <c r="P21" s="15"/>
      <c r="Q21" s="20"/>
      <c r="R21" s="20"/>
      <c r="S21" s="20"/>
      <c r="T21" s="20"/>
      <c r="U21" s="20"/>
      <c r="V21" s="50"/>
      <c r="W21" s="44"/>
      <c r="X21" s="44"/>
      <c r="Y21" s="44"/>
      <c r="Z21" s="44"/>
      <c r="AA21" s="44"/>
      <c r="AB21" s="44"/>
      <c r="AC21" s="51"/>
    </row>
    <row r="22" spans="1:29">
      <c r="A22" s="98" t="s">
        <v>107</v>
      </c>
      <c r="B22" s="91">
        <v>1</v>
      </c>
      <c r="C22" s="89">
        <v>2</v>
      </c>
      <c r="D22" s="89">
        <v>0</v>
      </c>
      <c r="E22" s="89">
        <v>3</v>
      </c>
      <c r="F22" s="89">
        <v>0</v>
      </c>
      <c r="G22" s="89">
        <v>0</v>
      </c>
      <c r="H22" s="89">
        <v>2</v>
      </c>
      <c r="I22" s="89">
        <v>0</v>
      </c>
      <c r="J22" s="89">
        <v>0</v>
      </c>
      <c r="K22" s="89">
        <v>0</v>
      </c>
      <c r="L22" s="89">
        <v>0</v>
      </c>
      <c r="M22" s="89">
        <v>0</v>
      </c>
      <c r="N22" s="89">
        <v>0</v>
      </c>
      <c r="O22" s="398">
        <v>0</v>
      </c>
      <c r="P22" s="15"/>
      <c r="Q22" s="20"/>
      <c r="R22" s="20"/>
      <c r="S22" s="20"/>
      <c r="T22" s="20"/>
      <c r="U22" s="20"/>
      <c r="V22" s="118" t="s">
        <v>57</v>
      </c>
      <c r="W22" s="119" t="s">
        <v>67</v>
      </c>
      <c r="X22" s="119" t="s">
        <v>69</v>
      </c>
      <c r="Y22" s="119" t="s">
        <v>70</v>
      </c>
      <c r="Z22" s="119" t="s">
        <v>56</v>
      </c>
      <c r="AA22" s="119" t="s">
        <v>54</v>
      </c>
      <c r="AB22" s="119" t="s">
        <v>58</v>
      </c>
      <c r="AC22" s="120" t="s">
        <v>59</v>
      </c>
    </row>
    <row r="23" spans="1:29">
      <c r="A23" s="97" t="s">
        <v>113</v>
      </c>
      <c r="B23" s="325">
        <f>3600000*B22</f>
        <v>3600000</v>
      </c>
      <c r="C23" s="90">
        <f t="shared" ref="C23:O23" si="3">3600000*C22</f>
        <v>7200000</v>
      </c>
      <c r="D23" s="90">
        <f t="shared" si="3"/>
        <v>0</v>
      </c>
      <c r="E23" s="90">
        <f t="shared" si="3"/>
        <v>10800000</v>
      </c>
      <c r="F23" s="90">
        <f t="shared" si="3"/>
        <v>0</v>
      </c>
      <c r="G23" s="90">
        <f t="shared" si="3"/>
        <v>0</v>
      </c>
      <c r="H23" s="90">
        <f t="shared" si="3"/>
        <v>7200000</v>
      </c>
      <c r="I23" s="90">
        <f t="shared" si="3"/>
        <v>0</v>
      </c>
      <c r="J23" s="90">
        <f t="shared" si="3"/>
        <v>0</v>
      </c>
      <c r="K23" s="90">
        <f t="shared" si="3"/>
        <v>0</v>
      </c>
      <c r="L23" s="90">
        <f t="shared" si="3"/>
        <v>0</v>
      </c>
      <c r="M23" s="90">
        <f t="shared" si="3"/>
        <v>0</v>
      </c>
      <c r="N23" s="90">
        <f t="shared" si="3"/>
        <v>0</v>
      </c>
      <c r="O23" s="399">
        <f t="shared" si="3"/>
        <v>0</v>
      </c>
      <c r="P23" s="15"/>
      <c r="Q23" s="20"/>
      <c r="R23" s="20"/>
      <c r="S23" s="20"/>
      <c r="T23" s="20"/>
      <c r="U23" s="20"/>
      <c r="V23" s="356" t="s">
        <v>2</v>
      </c>
      <c r="W23" s="357">
        <v>91999901</v>
      </c>
      <c r="X23" s="358" t="s">
        <v>507</v>
      </c>
      <c r="Y23" s="358" t="s">
        <v>508</v>
      </c>
      <c r="Z23" s="359" t="s">
        <v>509</v>
      </c>
      <c r="AA23" s="360">
        <v>8000000</v>
      </c>
      <c r="AB23" s="358"/>
      <c r="AC23" s="361"/>
    </row>
    <row r="24" spans="1:29">
      <c r="A24" s="97" t="s">
        <v>114</v>
      </c>
      <c r="B24" s="326">
        <v>9000000</v>
      </c>
      <c r="C24" s="90">
        <v>9000000</v>
      </c>
      <c r="D24" s="90">
        <v>9000000</v>
      </c>
      <c r="E24" s="90">
        <v>9000000</v>
      </c>
      <c r="F24" s="90">
        <v>9000000</v>
      </c>
      <c r="G24" s="90">
        <v>9000000</v>
      </c>
      <c r="H24" s="90">
        <v>9000000</v>
      </c>
      <c r="I24" s="90">
        <v>9000000</v>
      </c>
      <c r="J24" s="90">
        <v>9000000</v>
      </c>
      <c r="K24" s="90">
        <v>9000000</v>
      </c>
      <c r="L24" s="90">
        <v>9000000</v>
      </c>
      <c r="M24" s="90">
        <v>9000000</v>
      </c>
      <c r="N24" s="90">
        <v>9000000</v>
      </c>
      <c r="O24" s="399">
        <v>9000000</v>
      </c>
      <c r="P24" s="15"/>
      <c r="Q24" s="66"/>
      <c r="R24" s="66"/>
      <c r="S24" s="66"/>
      <c r="T24" s="66"/>
      <c r="U24" s="66"/>
      <c r="V24" s="356" t="s">
        <v>2</v>
      </c>
      <c r="W24" s="357">
        <v>91999902</v>
      </c>
      <c r="X24" s="358" t="s">
        <v>507</v>
      </c>
      <c r="Y24" s="358" t="s">
        <v>508</v>
      </c>
      <c r="Z24" s="359" t="s">
        <v>509</v>
      </c>
      <c r="AA24" s="360">
        <v>8000000</v>
      </c>
      <c r="AB24" s="358"/>
      <c r="AC24" s="361"/>
    </row>
    <row r="25" spans="1:29" ht="15.6">
      <c r="A25" s="413" t="s">
        <v>53</v>
      </c>
      <c r="B25" s="64"/>
      <c r="C25" s="65"/>
      <c r="D25" s="65"/>
      <c r="E25" s="66"/>
      <c r="F25" s="65"/>
      <c r="G25" s="65"/>
      <c r="H25" s="21"/>
      <c r="I25" s="65"/>
      <c r="J25" s="65"/>
      <c r="K25" s="66"/>
      <c r="L25" s="66"/>
      <c r="M25" s="66"/>
      <c r="N25" s="66"/>
      <c r="O25" s="66"/>
      <c r="P25" s="343"/>
      <c r="Q25" s="66"/>
      <c r="R25" s="66"/>
      <c r="S25" s="66"/>
      <c r="T25" s="66"/>
      <c r="U25" s="66"/>
      <c r="V25" s="356" t="s">
        <v>2</v>
      </c>
      <c r="W25" s="357">
        <v>91999904</v>
      </c>
      <c r="X25" s="358" t="s">
        <v>511</v>
      </c>
      <c r="Y25" s="358" t="s">
        <v>508</v>
      </c>
      <c r="Z25" s="359" t="s">
        <v>509</v>
      </c>
      <c r="AA25" s="360">
        <v>8000000</v>
      </c>
      <c r="AB25" s="358"/>
      <c r="AC25" s="361"/>
    </row>
    <row r="26" spans="1:29">
      <c r="A26" s="414" t="s">
        <v>55</v>
      </c>
      <c r="B26" s="64"/>
      <c r="C26" s="65"/>
      <c r="D26" s="65"/>
      <c r="E26" s="66"/>
      <c r="F26" s="65"/>
      <c r="G26" s="65"/>
      <c r="H26" s="21"/>
      <c r="I26" s="65"/>
      <c r="J26" s="65"/>
      <c r="K26" s="66"/>
      <c r="L26" s="66"/>
      <c r="M26" s="66"/>
      <c r="N26" s="66"/>
      <c r="O26" s="382"/>
      <c r="P26" s="382"/>
      <c r="Q26" s="66"/>
      <c r="R26" s="66"/>
      <c r="S26" s="66"/>
      <c r="T26" s="66"/>
      <c r="U26" s="66"/>
      <c r="V26" s="356" t="s">
        <v>2</v>
      </c>
      <c r="W26" s="357">
        <v>91999905</v>
      </c>
      <c r="X26" s="358" t="s">
        <v>507</v>
      </c>
      <c r="Y26" s="358" t="s">
        <v>508</v>
      </c>
      <c r="Z26" s="359" t="s">
        <v>509</v>
      </c>
      <c r="AA26" s="360">
        <v>8000000</v>
      </c>
      <c r="AB26" s="358"/>
      <c r="AC26" s="361"/>
    </row>
    <row r="27" spans="1:29">
      <c r="A27" s="445" t="s">
        <v>479</v>
      </c>
      <c r="B27" s="332">
        <f>IF(OR(B21="A",B21="B"),IF(B12&lt;&gt;"C",ROUND(B131*B92,0),0),IF(B12&lt;&gt;"C",ROUND(B148*$B$4,0),0))</f>
        <v>7000000</v>
      </c>
      <c r="C27" s="332">
        <f>IF(OR(C21="A",C21="B"),IF(C12&lt;&gt;"C",ROUND(C131*C92,0),0),IF(C12&lt;&gt;"C",ROUND(C148*$B$4,0),0))</f>
        <v>6200000</v>
      </c>
      <c r="D27" s="332">
        <v>0</v>
      </c>
      <c r="E27" s="332">
        <f t="shared" ref="E27:O27" si="4">IF(OR(E21="A",E21="B"),IF(E12&lt;&gt;"C",ROUND(E131*E92,0),0),IF(E12&lt;&gt;"C",ROUND(E148*$B$4,0),0))</f>
        <v>11000000</v>
      </c>
      <c r="F27" s="332">
        <f t="shared" si="4"/>
        <v>16000000</v>
      </c>
      <c r="G27" s="332">
        <f t="shared" si="4"/>
        <v>0</v>
      </c>
      <c r="H27" s="332">
        <f t="shared" si="4"/>
        <v>120666000</v>
      </c>
      <c r="I27" s="332">
        <f t="shared" si="4"/>
        <v>90499500</v>
      </c>
      <c r="J27" s="332">
        <f t="shared" si="4"/>
        <v>55000000</v>
      </c>
      <c r="K27" s="332">
        <f t="shared" si="4"/>
        <v>10000000</v>
      </c>
      <c r="L27" s="332">
        <f t="shared" si="4"/>
        <v>11500000</v>
      </c>
      <c r="M27" s="332">
        <f t="shared" si="4"/>
        <v>7000000</v>
      </c>
      <c r="N27" s="332">
        <f t="shared" si="4"/>
        <v>8000000</v>
      </c>
      <c r="O27" s="332">
        <f t="shared" si="4"/>
        <v>6000000</v>
      </c>
      <c r="P27" s="355">
        <f t="shared" ref="P27:P34" si="5">SUM(B27:O27)</f>
        <v>348865500</v>
      </c>
      <c r="Q27" s="90" t="s">
        <v>525</v>
      </c>
      <c r="R27" s="90" t="s">
        <v>525</v>
      </c>
      <c r="S27" s="90" t="s">
        <v>525</v>
      </c>
      <c r="T27" s="90" t="s">
        <v>525</v>
      </c>
      <c r="U27" s="90" t="s">
        <v>525</v>
      </c>
      <c r="V27" s="356" t="s">
        <v>2</v>
      </c>
      <c r="W27" s="357">
        <v>91999906</v>
      </c>
      <c r="X27" s="358" t="s">
        <v>507</v>
      </c>
      <c r="Y27" s="358" t="s">
        <v>508</v>
      </c>
      <c r="Z27" s="359" t="s">
        <v>509</v>
      </c>
      <c r="AA27" s="360">
        <v>8000000</v>
      </c>
      <c r="AB27" s="358"/>
      <c r="AC27" s="361"/>
    </row>
    <row r="28" spans="1:29">
      <c r="A28" s="463" t="s">
        <v>751</v>
      </c>
      <c r="B28" s="438"/>
      <c r="C28" s="438"/>
      <c r="D28" s="438"/>
      <c r="E28" s="438"/>
      <c r="F28" s="438"/>
      <c r="G28" s="438"/>
      <c r="H28" s="438"/>
      <c r="I28" s="438"/>
      <c r="J28" s="438"/>
      <c r="K28" s="438"/>
      <c r="L28" s="438"/>
      <c r="M28" s="438"/>
      <c r="N28" s="438">
        <f>ROUND(N131*N93,0)-ROUND(N132*N93,0)</f>
        <v>300000</v>
      </c>
      <c r="O28" s="511"/>
      <c r="P28" s="464">
        <f t="shared" si="5"/>
        <v>300000</v>
      </c>
      <c r="Q28" s="435" t="s">
        <v>525</v>
      </c>
      <c r="R28" s="435" t="s">
        <v>525</v>
      </c>
      <c r="S28" s="435" t="s">
        <v>525</v>
      </c>
      <c r="T28" s="435" t="s">
        <v>525</v>
      </c>
      <c r="U28" s="435" t="s">
        <v>525</v>
      </c>
      <c r="V28" s="356" t="s">
        <v>2</v>
      </c>
      <c r="W28" s="357">
        <v>91999901</v>
      </c>
      <c r="X28" s="358" t="s">
        <v>507</v>
      </c>
      <c r="Y28" s="358" t="s">
        <v>508</v>
      </c>
      <c r="Z28" s="359" t="s">
        <v>537</v>
      </c>
      <c r="AA28" s="360">
        <v>7000000</v>
      </c>
      <c r="AB28" s="358"/>
      <c r="AC28" s="361"/>
    </row>
    <row r="29" spans="1:29">
      <c r="A29" s="451" t="s">
        <v>496</v>
      </c>
      <c r="B29" s="332">
        <f>IF(OR(B21="A",B21="B"),ROUND(B134*B92,0),ROUND(B134*B92*$B$4,0))</f>
        <v>700000</v>
      </c>
      <c r="C29" s="332">
        <f>IF(OR(C21="A",C21="B"),ROUND(C134*C92,0),ROUND(C134*C92*$B$4,0))</f>
        <v>620000</v>
      </c>
      <c r="D29" s="332">
        <v>0</v>
      </c>
      <c r="E29" s="332">
        <f t="shared" ref="E29:O29" si="6">IF(OR(E21="A",E21="B"),ROUND(E134*E92,0),ROUND(E134*E92*$B$4,0))</f>
        <v>0</v>
      </c>
      <c r="F29" s="332">
        <f t="shared" si="6"/>
        <v>0</v>
      </c>
      <c r="G29" s="332">
        <f t="shared" si="6"/>
        <v>0</v>
      </c>
      <c r="H29" s="332">
        <f t="shared" si="6"/>
        <v>12762750</v>
      </c>
      <c r="I29" s="332">
        <f t="shared" si="6"/>
        <v>0</v>
      </c>
      <c r="J29" s="332">
        <f t="shared" si="6"/>
        <v>5500000</v>
      </c>
      <c r="K29" s="332">
        <f t="shared" si="6"/>
        <v>1000000</v>
      </c>
      <c r="L29" s="332">
        <f t="shared" si="6"/>
        <v>0</v>
      </c>
      <c r="M29" s="332">
        <f t="shared" si="6"/>
        <v>1400000</v>
      </c>
      <c r="N29" s="332">
        <f t="shared" si="6"/>
        <v>1200000</v>
      </c>
      <c r="O29" s="400">
        <f t="shared" si="6"/>
        <v>0</v>
      </c>
      <c r="P29" s="355">
        <f t="shared" si="5"/>
        <v>23182750</v>
      </c>
      <c r="Q29" s="379" t="s">
        <v>525</v>
      </c>
      <c r="R29" s="379" t="s">
        <v>525</v>
      </c>
      <c r="S29" s="379" t="s">
        <v>525</v>
      </c>
      <c r="T29" s="379" t="s">
        <v>525</v>
      </c>
      <c r="U29" s="90" t="s">
        <v>525</v>
      </c>
      <c r="V29" s="356" t="s">
        <v>2</v>
      </c>
      <c r="W29" s="357">
        <v>91999902</v>
      </c>
      <c r="X29" s="358" t="s">
        <v>507</v>
      </c>
      <c r="Y29" s="358" t="s">
        <v>508</v>
      </c>
      <c r="Z29" s="359" t="s">
        <v>537</v>
      </c>
      <c r="AA29" s="360">
        <v>7000000</v>
      </c>
      <c r="AB29" s="358"/>
      <c r="AC29" s="361"/>
    </row>
    <row r="30" spans="1:29">
      <c r="A30" s="465" t="s">
        <v>755</v>
      </c>
      <c r="B30" s="438"/>
      <c r="C30" s="438"/>
      <c r="D30" s="438"/>
      <c r="E30" s="438"/>
      <c r="F30" s="438"/>
      <c r="G30" s="438"/>
      <c r="H30" s="438"/>
      <c r="I30" s="438"/>
      <c r="J30" s="438"/>
      <c r="K30" s="438"/>
      <c r="L30" s="438"/>
      <c r="M30" s="438"/>
      <c r="N30" s="438">
        <f>ROUND(N134*N93,0)-ROUND(N135*N93,0)</f>
        <v>40000</v>
      </c>
      <c r="O30" s="511"/>
      <c r="P30" s="464">
        <f t="shared" si="5"/>
        <v>40000</v>
      </c>
      <c r="Q30" s="446" t="s">
        <v>525</v>
      </c>
      <c r="R30" s="446" t="s">
        <v>525</v>
      </c>
      <c r="S30" s="446" t="s">
        <v>525</v>
      </c>
      <c r="T30" s="446" t="s">
        <v>525</v>
      </c>
      <c r="U30" s="435" t="s">
        <v>525</v>
      </c>
      <c r="V30" s="356" t="s">
        <v>2</v>
      </c>
      <c r="W30" s="357">
        <v>91999904</v>
      </c>
      <c r="X30" s="358" t="s">
        <v>511</v>
      </c>
      <c r="Y30" s="358" t="s">
        <v>508</v>
      </c>
      <c r="Z30" s="359" t="s">
        <v>537</v>
      </c>
      <c r="AA30" s="360">
        <v>7000000</v>
      </c>
      <c r="AB30" s="358"/>
      <c r="AC30" s="361"/>
    </row>
    <row r="31" spans="1:29">
      <c r="A31" s="451" t="s">
        <v>569</v>
      </c>
      <c r="B31" s="332">
        <f>IF(OR(B21="A",B21="B"),ROUND(B136*B92,0),ROUND(B136*B92*$B$4,0))</f>
        <v>1400000</v>
      </c>
      <c r="C31" s="332">
        <f>IF(OR(C21="A",C21="B"),ROUND(C136*C92,0),ROUND(C136*C92*$B$4,0))</f>
        <v>1240000</v>
      </c>
      <c r="D31" s="332">
        <v>0</v>
      </c>
      <c r="E31" s="332">
        <f t="shared" ref="E31:O31" si="7">IF(OR(E21="A",E21="B"),ROUND(E136*E92,0),ROUND(E136*E92*$B$4,0))</f>
        <v>0</v>
      </c>
      <c r="F31" s="332">
        <f t="shared" si="7"/>
        <v>0</v>
      </c>
      <c r="G31" s="332">
        <f t="shared" si="7"/>
        <v>0</v>
      </c>
      <c r="H31" s="332">
        <f t="shared" si="7"/>
        <v>25525500</v>
      </c>
      <c r="I31" s="332">
        <f t="shared" si="7"/>
        <v>0</v>
      </c>
      <c r="J31" s="332">
        <f t="shared" si="7"/>
        <v>11000000</v>
      </c>
      <c r="K31" s="332">
        <f t="shared" si="7"/>
        <v>2000000</v>
      </c>
      <c r="L31" s="332">
        <f t="shared" si="7"/>
        <v>0</v>
      </c>
      <c r="M31" s="332">
        <f t="shared" si="7"/>
        <v>2100000</v>
      </c>
      <c r="N31" s="332">
        <f t="shared" si="7"/>
        <v>1650000</v>
      </c>
      <c r="O31" s="400">
        <f t="shared" si="7"/>
        <v>0</v>
      </c>
      <c r="P31" s="355">
        <f t="shared" si="5"/>
        <v>44915500</v>
      </c>
      <c r="Q31" s="379" t="s">
        <v>525</v>
      </c>
      <c r="R31" s="379" t="s">
        <v>525</v>
      </c>
      <c r="S31" s="379" t="s">
        <v>525</v>
      </c>
      <c r="T31" s="379" t="s">
        <v>525</v>
      </c>
      <c r="U31" s="90" t="s">
        <v>525</v>
      </c>
      <c r="V31" s="356" t="s">
        <v>2</v>
      </c>
      <c r="W31" s="357">
        <v>91999905</v>
      </c>
      <c r="X31" s="358" t="s">
        <v>507</v>
      </c>
      <c r="Y31" s="358" t="s">
        <v>508</v>
      </c>
      <c r="Z31" s="359" t="s">
        <v>537</v>
      </c>
      <c r="AA31" s="360">
        <v>7000000</v>
      </c>
      <c r="AB31" s="358"/>
      <c r="AC31" s="361"/>
    </row>
    <row r="32" spans="1:29">
      <c r="A32" s="465" t="s">
        <v>758</v>
      </c>
      <c r="B32" s="438"/>
      <c r="C32" s="438"/>
      <c r="D32" s="438"/>
      <c r="E32" s="438"/>
      <c r="F32" s="438"/>
      <c r="G32" s="438"/>
      <c r="H32" s="438"/>
      <c r="I32" s="438"/>
      <c r="J32" s="438"/>
      <c r="K32" s="438"/>
      <c r="L32" s="438"/>
      <c r="M32" s="438"/>
      <c r="N32" s="438">
        <f>ROUND(N136*N93,0)-ROUND(N137*N93,0)</f>
        <v>30000</v>
      </c>
      <c r="O32" s="511"/>
      <c r="P32" s="464">
        <f t="shared" si="5"/>
        <v>30000</v>
      </c>
      <c r="Q32" s="446" t="s">
        <v>525</v>
      </c>
      <c r="R32" s="446" t="s">
        <v>525</v>
      </c>
      <c r="S32" s="446" t="s">
        <v>525</v>
      </c>
      <c r="T32" s="446" t="s">
        <v>525</v>
      </c>
      <c r="U32" s="435" t="s">
        <v>525</v>
      </c>
      <c r="V32" s="356" t="s">
        <v>2</v>
      </c>
      <c r="W32" s="357">
        <v>91999906</v>
      </c>
      <c r="X32" s="358" t="s">
        <v>507</v>
      </c>
      <c r="Y32" s="358" t="s">
        <v>508</v>
      </c>
      <c r="Z32" s="359" t="s">
        <v>537</v>
      </c>
      <c r="AA32" s="360">
        <v>7000000</v>
      </c>
      <c r="AB32" s="358"/>
      <c r="AC32" s="361"/>
    </row>
    <row r="33" spans="1:31">
      <c r="A33" s="445" t="s">
        <v>427</v>
      </c>
      <c r="B33" s="332"/>
      <c r="C33" s="332"/>
      <c r="D33" s="332"/>
      <c r="E33" s="340"/>
      <c r="F33" s="332"/>
      <c r="G33" s="332">
        <f>ROUND(G133*B4,0)*AC45+ROUND(G133*B4,0)*AC46</f>
        <v>29006250</v>
      </c>
      <c r="H33" s="332"/>
      <c r="I33" s="332"/>
      <c r="J33" s="332"/>
      <c r="K33" s="340"/>
      <c r="L33" s="340"/>
      <c r="M33" s="340"/>
      <c r="N33" s="340"/>
      <c r="O33" s="401">
        <v>0</v>
      </c>
      <c r="P33" s="355">
        <f t="shared" si="5"/>
        <v>29006250</v>
      </c>
      <c r="Q33" s="379" t="s">
        <v>525</v>
      </c>
      <c r="R33" s="379" t="s">
        <v>525</v>
      </c>
      <c r="S33" s="379"/>
      <c r="T33" s="379"/>
      <c r="U33" s="379"/>
      <c r="V33" s="356" t="s">
        <v>2</v>
      </c>
      <c r="W33" s="357">
        <v>91999907</v>
      </c>
      <c r="X33" s="358" t="s">
        <v>603</v>
      </c>
      <c r="Y33" s="358" t="s">
        <v>508</v>
      </c>
      <c r="Z33" s="359">
        <v>7065</v>
      </c>
      <c r="AA33" s="360">
        <v>100</v>
      </c>
      <c r="AB33" s="447" t="s">
        <v>542</v>
      </c>
      <c r="AC33" s="448"/>
    </row>
    <row r="34" spans="1:31">
      <c r="A34" s="445" t="s">
        <v>1191</v>
      </c>
      <c r="B34" s="332"/>
      <c r="C34" s="332"/>
      <c r="D34" s="332">
        <f>AA40</f>
        <v>6000000</v>
      </c>
      <c r="E34" s="340"/>
      <c r="F34" s="332"/>
      <c r="G34" s="332"/>
      <c r="H34" s="332"/>
      <c r="I34" s="332"/>
      <c r="J34" s="332"/>
      <c r="K34" s="340"/>
      <c r="L34" s="340"/>
      <c r="M34" s="340"/>
      <c r="N34" s="340"/>
      <c r="O34" s="401"/>
      <c r="P34" s="355">
        <f t="shared" si="5"/>
        <v>6000000</v>
      </c>
      <c r="Q34" s="379" t="s">
        <v>525</v>
      </c>
      <c r="R34" s="379" t="s">
        <v>525</v>
      </c>
      <c r="S34" s="379"/>
      <c r="T34" s="379"/>
      <c r="U34" s="379"/>
      <c r="V34" s="356" t="s">
        <v>2</v>
      </c>
      <c r="W34" s="357">
        <v>91999908</v>
      </c>
      <c r="X34" s="358" t="s">
        <v>507</v>
      </c>
      <c r="Y34" s="358" t="s">
        <v>508</v>
      </c>
      <c r="Z34" s="359">
        <v>7065</v>
      </c>
      <c r="AA34" s="360">
        <v>100</v>
      </c>
      <c r="AB34" s="447" t="s">
        <v>542</v>
      </c>
      <c r="AC34" s="448"/>
    </row>
    <row r="35" spans="1:31">
      <c r="A35" s="506" t="s">
        <v>733</v>
      </c>
      <c r="B35" s="510">
        <f>B81+B82</f>
        <v>121155</v>
      </c>
      <c r="C35" s="438"/>
      <c r="D35" s="438"/>
      <c r="E35" s="438">
        <f>ROUND('UAT6-Jun'!E99*AD50*100%,0)+E82</f>
        <v>285579</v>
      </c>
      <c r="F35" s="438"/>
      <c r="G35" s="438"/>
      <c r="H35" s="438"/>
      <c r="I35" s="438"/>
      <c r="J35" s="438"/>
      <c r="K35" s="438"/>
      <c r="L35" s="438"/>
      <c r="M35" s="438">
        <f>ROUND('UAT6-Jun'!M99*AD52*100%,0)+ROUND('UAT6-Jun'!M99*AD53*100%,0)+ROUND('UAT6-Jun'!M99*AD54*100%,0)+ROUND('UAT6-Jun'!M99*AD55*100%,0)+ROUND('UAT6-Jun'!M99*AD56*100%,0)+ROUND('UAT6-Jun'!M99*AD57*100%,0)+M82</f>
        <v>1090397</v>
      </c>
      <c r="N35" s="438">
        <f>ROUND(N88*AD59*100%,0)+N82</f>
        <v>276924</v>
      </c>
      <c r="O35" s="438"/>
      <c r="P35" s="513">
        <f>SUM(B35:O35)</f>
        <v>1774055</v>
      </c>
      <c r="Q35" s="446" t="s">
        <v>525</v>
      </c>
      <c r="R35" s="446" t="s">
        <v>525</v>
      </c>
      <c r="S35" s="435"/>
      <c r="T35" s="435"/>
      <c r="U35" s="435"/>
      <c r="V35" s="356" t="s">
        <v>2</v>
      </c>
      <c r="W35" s="357">
        <v>91999907</v>
      </c>
      <c r="X35" s="358" t="s">
        <v>603</v>
      </c>
      <c r="Y35" s="358" t="s">
        <v>508</v>
      </c>
      <c r="Z35" s="359">
        <v>7070</v>
      </c>
      <c r="AA35" s="360">
        <v>200</v>
      </c>
      <c r="AB35" s="447" t="s">
        <v>542</v>
      </c>
      <c r="AC35" s="448"/>
    </row>
    <row r="36" spans="1:31">
      <c r="A36" s="506" t="s">
        <v>734</v>
      </c>
      <c r="B36" s="510"/>
      <c r="C36" s="438"/>
      <c r="D36" s="438"/>
      <c r="E36" s="438"/>
      <c r="F36" s="438"/>
      <c r="G36" s="438"/>
      <c r="H36" s="438"/>
      <c r="I36" s="438"/>
      <c r="J36" s="438"/>
      <c r="K36" s="438"/>
      <c r="L36" s="438"/>
      <c r="M36" s="438">
        <f>ROUND('UAT6-Jun'!M99*AE54*100%,0)+M83</f>
        <v>157502</v>
      </c>
      <c r="N36" s="438"/>
      <c r="O36" s="438"/>
      <c r="P36" s="513">
        <f>SUM(B36:O36)</f>
        <v>157502</v>
      </c>
      <c r="Q36" s="446" t="s">
        <v>525</v>
      </c>
      <c r="R36" s="446" t="s">
        <v>525</v>
      </c>
      <c r="S36" s="512"/>
      <c r="T36" s="512"/>
      <c r="U36" s="512"/>
      <c r="V36" s="356" t="s">
        <v>2</v>
      </c>
      <c r="W36" s="357">
        <v>91999908</v>
      </c>
      <c r="X36" s="358" t="s">
        <v>507</v>
      </c>
      <c r="Y36" s="358" t="s">
        <v>508</v>
      </c>
      <c r="Z36" s="359">
        <v>7070</v>
      </c>
      <c r="AA36" s="360">
        <v>200</v>
      </c>
      <c r="AB36" s="447" t="s">
        <v>542</v>
      </c>
      <c r="AC36" s="448"/>
    </row>
    <row r="37" spans="1:31">
      <c r="A37" s="506" t="s">
        <v>710</v>
      </c>
      <c r="B37" s="510"/>
      <c r="C37" s="438"/>
      <c r="D37" s="438"/>
      <c r="E37" s="438">
        <f>ROUND('UAT6-Jun'!E98*AD49*100%,0)+E84</f>
        <v>519230</v>
      </c>
      <c r="F37" s="438"/>
      <c r="G37" s="438"/>
      <c r="H37" s="438"/>
      <c r="I37" s="438"/>
      <c r="J37" s="438"/>
      <c r="K37" s="438"/>
      <c r="L37" s="438"/>
      <c r="M37" s="438">
        <f>ROUND('UAT6-Jun'!M98*AD51*100%,0)+M84</f>
        <v>576920</v>
      </c>
      <c r="N37" s="438"/>
      <c r="O37" s="511"/>
      <c r="P37" s="464">
        <f t="shared" ref="P37:P38" si="8">SUM(B37:O37)</f>
        <v>1096150</v>
      </c>
      <c r="Q37" s="446" t="s">
        <v>525</v>
      </c>
      <c r="R37" s="446" t="s">
        <v>525</v>
      </c>
      <c r="S37" s="435"/>
      <c r="T37" s="435"/>
      <c r="U37" s="435"/>
      <c r="V37" s="356" t="s">
        <v>2</v>
      </c>
      <c r="W37" s="357">
        <v>91999901</v>
      </c>
      <c r="X37" s="358" t="s">
        <v>507</v>
      </c>
      <c r="Y37" s="358" t="s">
        <v>508</v>
      </c>
      <c r="Z37" s="359">
        <v>9140</v>
      </c>
      <c r="AA37" s="360"/>
      <c r="AB37" s="750">
        <v>7.5999999999999998E-2</v>
      </c>
      <c r="AC37" s="448"/>
    </row>
    <row r="38" spans="1:31">
      <c r="A38" s="506" t="s">
        <v>709</v>
      </c>
      <c r="B38" s="510"/>
      <c r="C38" s="438"/>
      <c r="D38" s="438"/>
      <c r="E38" s="438"/>
      <c r="F38" s="438"/>
      <c r="G38" s="438"/>
      <c r="H38" s="438"/>
      <c r="I38" s="438"/>
      <c r="J38" s="438"/>
      <c r="K38" s="438"/>
      <c r="L38" s="438"/>
      <c r="M38" s="438"/>
      <c r="N38" s="438">
        <f>ROUND('UAT6-Jun'!N98*AE58*100%,0)+N85</f>
        <v>195000</v>
      </c>
      <c r="O38" s="511"/>
      <c r="P38" s="464">
        <f t="shared" si="8"/>
        <v>195000</v>
      </c>
      <c r="Q38" s="446" t="s">
        <v>525</v>
      </c>
      <c r="R38" s="446" t="s">
        <v>525</v>
      </c>
      <c r="S38" s="512"/>
      <c r="T38" s="512"/>
      <c r="U38" s="512"/>
      <c r="V38" s="356" t="s">
        <v>2</v>
      </c>
      <c r="W38" s="357">
        <v>91999907</v>
      </c>
      <c r="X38" s="358" t="s">
        <v>507</v>
      </c>
      <c r="Y38" s="358" t="s">
        <v>508</v>
      </c>
      <c r="Z38" s="359">
        <v>9140</v>
      </c>
      <c r="AA38" s="360"/>
      <c r="AB38" s="750">
        <v>0.56000000000000005</v>
      </c>
      <c r="AC38" s="448"/>
    </row>
    <row r="39" spans="1:31">
      <c r="A39" s="412"/>
      <c r="B39" s="331"/>
      <c r="C39" s="332"/>
      <c r="D39" s="332"/>
      <c r="E39" s="332"/>
      <c r="F39" s="332"/>
      <c r="G39" s="332"/>
      <c r="H39" s="332"/>
      <c r="I39" s="332"/>
      <c r="J39" s="332"/>
      <c r="K39" s="332"/>
      <c r="L39" s="332"/>
      <c r="M39" s="332"/>
      <c r="N39" s="332"/>
      <c r="O39" s="400"/>
      <c r="P39" s="355"/>
      <c r="V39" s="356" t="s">
        <v>773</v>
      </c>
      <c r="W39" s="357">
        <v>91999905</v>
      </c>
      <c r="X39" s="358" t="s">
        <v>507</v>
      </c>
      <c r="Y39" s="358" t="s">
        <v>508</v>
      </c>
      <c r="Z39" s="359" t="s">
        <v>649</v>
      </c>
      <c r="AA39" s="360"/>
      <c r="AB39" s="447">
        <v>1</v>
      </c>
      <c r="AC39" s="448"/>
    </row>
    <row r="40" spans="1:31">
      <c r="A40" s="528" t="s">
        <v>572</v>
      </c>
      <c r="B40" s="332"/>
      <c r="C40" s="332"/>
      <c r="D40" s="332"/>
      <c r="E40" s="340"/>
      <c r="F40" s="332"/>
      <c r="G40" s="332"/>
      <c r="H40" s="332"/>
      <c r="I40" s="332"/>
      <c r="J40" s="332"/>
      <c r="K40" s="340"/>
      <c r="L40" s="340"/>
      <c r="M40" s="340"/>
      <c r="N40" s="340"/>
      <c r="O40" s="401"/>
      <c r="P40" s="355"/>
      <c r="Q40" s="379"/>
      <c r="R40" s="379"/>
      <c r="S40" s="379"/>
      <c r="T40" s="379"/>
      <c r="U40" s="379"/>
      <c r="V40" s="523" t="s">
        <v>1192</v>
      </c>
      <c r="W40" s="637">
        <v>91999903</v>
      </c>
      <c r="X40" s="570" t="s">
        <v>1193</v>
      </c>
      <c r="Y40" s="570" t="s">
        <v>1193</v>
      </c>
      <c r="Z40" s="569">
        <v>2300</v>
      </c>
      <c r="AA40" s="368">
        <v>6000000</v>
      </c>
      <c r="AB40" s="290"/>
      <c r="AC40" s="479"/>
      <c r="AD40" s="293"/>
      <c r="AE40" s="293"/>
    </row>
    <row r="41" spans="1:31">
      <c r="A41" s="445" t="s">
        <v>512</v>
      </c>
      <c r="B41" s="332">
        <f t="shared" ref="B41:O41" si="9">IF(OR(B21="A",B21="B"),B97,ROUND(B97*B14%,0))</f>
        <v>679452</v>
      </c>
      <c r="C41" s="332">
        <f t="shared" si="9"/>
        <v>679452</v>
      </c>
      <c r="D41" s="332">
        <f t="shared" si="9"/>
        <v>0</v>
      </c>
      <c r="E41" s="332">
        <f t="shared" si="9"/>
        <v>679452</v>
      </c>
      <c r="F41" s="332">
        <f t="shared" si="9"/>
        <v>679452</v>
      </c>
      <c r="G41" s="332">
        <f t="shared" si="9"/>
        <v>0</v>
      </c>
      <c r="H41" s="332">
        <f t="shared" si="9"/>
        <v>339726</v>
      </c>
      <c r="I41" s="332">
        <f t="shared" si="9"/>
        <v>0</v>
      </c>
      <c r="J41" s="332">
        <f t="shared" si="9"/>
        <v>0</v>
      </c>
      <c r="K41" s="332">
        <f t="shared" si="9"/>
        <v>0</v>
      </c>
      <c r="L41" s="332">
        <f t="shared" si="9"/>
        <v>0</v>
      </c>
      <c r="M41" s="332">
        <f t="shared" si="9"/>
        <v>0</v>
      </c>
      <c r="N41" s="332">
        <f t="shared" si="9"/>
        <v>0</v>
      </c>
      <c r="O41" s="332">
        <f t="shared" si="9"/>
        <v>0</v>
      </c>
      <c r="P41" s="345">
        <f>SUM(B41:O41)</f>
        <v>3057534</v>
      </c>
      <c r="Q41" s="379"/>
      <c r="R41" s="379" t="s">
        <v>597</v>
      </c>
      <c r="S41" s="379"/>
      <c r="T41" s="379"/>
      <c r="U41" s="379"/>
      <c r="V41" s="32"/>
      <c r="W41" s="44"/>
      <c r="X41" s="13"/>
      <c r="Y41" s="13"/>
      <c r="Z41" s="13"/>
      <c r="AA41" s="362"/>
      <c r="AB41" s="13"/>
      <c r="AC41" s="18"/>
    </row>
    <row r="42" spans="1:31">
      <c r="A42" s="445" t="s">
        <v>534</v>
      </c>
      <c r="B42" s="332">
        <f t="shared" ref="B42:O42" si="10">IF(OR(B21="A",B21="B"),ROUND(2369796/365*B18,0),ROUND(ROUND(2466.55*$B$4,0)/365*B18,0))*B22*IF(B20&lt;3,0,IF(B20&lt;6,50%,100%))</f>
        <v>201270</v>
      </c>
      <c r="C42" s="332">
        <f t="shared" si="10"/>
        <v>402540</v>
      </c>
      <c r="D42" s="332">
        <f t="shared" si="10"/>
        <v>0</v>
      </c>
      <c r="E42" s="332">
        <f t="shared" si="10"/>
        <v>301905</v>
      </c>
      <c r="F42" s="332">
        <f t="shared" si="10"/>
        <v>0</v>
      </c>
      <c r="G42" s="332">
        <f t="shared" si="10"/>
        <v>0</v>
      </c>
      <c r="H42" s="332">
        <f t="shared" si="10"/>
        <v>9722330</v>
      </c>
      <c r="I42" s="332">
        <f t="shared" si="10"/>
        <v>0</v>
      </c>
      <c r="J42" s="332">
        <f t="shared" si="10"/>
        <v>0</v>
      </c>
      <c r="K42" s="332">
        <f t="shared" si="10"/>
        <v>0</v>
      </c>
      <c r="L42" s="332">
        <f t="shared" si="10"/>
        <v>0</v>
      </c>
      <c r="M42" s="332">
        <f t="shared" si="10"/>
        <v>0</v>
      </c>
      <c r="N42" s="332">
        <f t="shared" si="10"/>
        <v>0</v>
      </c>
      <c r="O42" s="332">
        <f t="shared" si="10"/>
        <v>0</v>
      </c>
      <c r="P42" s="346">
        <f>SUM(B42:O42)</f>
        <v>10628045</v>
      </c>
      <c r="Q42" s="379"/>
      <c r="R42" s="379" t="s">
        <v>597</v>
      </c>
      <c r="S42" s="379"/>
      <c r="T42" s="379"/>
      <c r="U42" s="379"/>
      <c r="V42" s="32"/>
      <c r="W42" s="44"/>
      <c r="X42" s="13"/>
      <c r="Y42" s="13"/>
      <c r="Z42" s="13"/>
      <c r="AA42" s="362"/>
      <c r="AB42" s="13"/>
      <c r="AC42" s="18"/>
    </row>
    <row r="43" spans="1:31">
      <c r="A43" s="412"/>
      <c r="B43" s="331"/>
      <c r="C43" s="332"/>
      <c r="D43" s="332"/>
      <c r="E43" s="340"/>
      <c r="F43" s="368"/>
      <c r="G43" s="368"/>
      <c r="H43" s="368"/>
      <c r="I43" s="368"/>
      <c r="J43" s="368"/>
      <c r="K43" s="340"/>
      <c r="L43" s="340"/>
      <c r="M43" s="340"/>
      <c r="N43" s="340"/>
      <c r="O43" s="401"/>
      <c r="P43" s="355"/>
      <c r="Q43" s="379"/>
      <c r="R43" s="379"/>
      <c r="S43" s="379"/>
      <c r="T43" s="379"/>
      <c r="U43" s="379"/>
      <c r="V43" s="42"/>
      <c r="W43" s="43"/>
      <c r="X43" s="13"/>
      <c r="Y43" s="13"/>
      <c r="Z43" s="61"/>
      <c r="AA43" s="362"/>
      <c r="AB43" s="13"/>
      <c r="AC43" s="18"/>
    </row>
    <row r="44" spans="1:31">
      <c r="A44" s="450" t="s">
        <v>61</v>
      </c>
      <c r="B44" s="365">
        <f t="shared" ref="B44:O44" si="11">SUM(B27:B39)</f>
        <v>9221155</v>
      </c>
      <c r="C44" s="366">
        <f t="shared" si="11"/>
        <v>8060000</v>
      </c>
      <c r="D44" s="366">
        <f t="shared" si="11"/>
        <v>6000000</v>
      </c>
      <c r="E44" s="366">
        <f t="shared" si="11"/>
        <v>11804809</v>
      </c>
      <c r="F44" s="366">
        <f t="shared" si="11"/>
        <v>16000000</v>
      </c>
      <c r="G44" s="366">
        <f t="shared" si="11"/>
        <v>29006250</v>
      </c>
      <c r="H44" s="366">
        <f t="shared" si="11"/>
        <v>158954250</v>
      </c>
      <c r="I44" s="366">
        <f t="shared" si="11"/>
        <v>90499500</v>
      </c>
      <c r="J44" s="366">
        <f t="shared" si="11"/>
        <v>71500000</v>
      </c>
      <c r="K44" s="366">
        <f t="shared" si="11"/>
        <v>13000000</v>
      </c>
      <c r="L44" s="366">
        <f t="shared" si="11"/>
        <v>11500000</v>
      </c>
      <c r="M44" s="366">
        <f t="shared" si="11"/>
        <v>12324819</v>
      </c>
      <c r="N44" s="495">
        <f t="shared" si="11"/>
        <v>11691924</v>
      </c>
      <c r="O44" s="496">
        <f t="shared" si="11"/>
        <v>6000000</v>
      </c>
      <c r="P44" s="355">
        <f>SUM(B44:O44)</f>
        <v>455562707</v>
      </c>
      <c r="Q44" s="379"/>
      <c r="R44" s="379"/>
      <c r="S44" s="379"/>
      <c r="T44" s="379"/>
      <c r="U44" s="379"/>
      <c r="V44" s="24" t="s">
        <v>57</v>
      </c>
      <c r="W44" s="37" t="s">
        <v>67</v>
      </c>
      <c r="X44" s="37" t="s">
        <v>69</v>
      </c>
      <c r="Y44" s="37" t="s">
        <v>70</v>
      </c>
      <c r="Z44" s="62" t="s">
        <v>425</v>
      </c>
      <c r="AA44" s="363" t="s">
        <v>426</v>
      </c>
      <c r="AB44" s="37" t="s">
        <v>56</v>
      </c>
      <c r="AC44" s="38"/>
    </row>
    <row r="45" spans="1:31">
      <c r="A45" s="418"/>
      <c r="B45" s="331"/>
      <c r="C45" s="332"/>
      <c r="D45" s="332"/>
      <c r="E45" s="340"/>
      <c r="F45" s="332"/>
      <c r="G45" s="332"/>
      <c r="H45" s="332"/>
      <c r="I45" s="332"/>
      <c r="J45" s="332"/>
      <c r="K45" s="340"/>
      <c r="L45" s="340"/>
      <c r="M45" s="340"/>
      <c r="N45" s="340"/>
      <c r="O45" s="401"/>
      <c r="P45" s="355"/>
      <c r="Q45" s="379"/>
      <c r="R45" s="379"/>
      <c r="S45" s="379"/>
      <c r="T45" s="379"/>
      <c r="U45" s="379"/>
      <c r="V45" s="523" t="s">
        <v>424</v>
      </c>
      <c r="W45" s="524">
        <v>91999906</v>
      </c>
      <c r="X45" s="525" t="s">
        <v>759</v>
      </c>
      <c r="Y45" s="525" t="s">
        <v>759</v>
      </c>
      <c r="Z45" s="292">
        <v>0.375</v>
      </c>
      <c r="AA45" s="292">
        <v>0.47916666666666669</v>
      </c>
      <c r="AB45" s="290">
        <v>9180</v>
      </c>
      <c r="AC45" s="479">
        <v>2.5</v>
      </c>
    </row>
    <row r="46" spans="1:31" ht="15.6">
      <c r="A46" s="419" t="s">
        <v>60</v>
      </c>
      <c r="B46" s="369"/>
      <c r="C46" s="362"/>
      <c r="D46" s="362"/>
      <c r="E46" s="370"/>
      <c r="F46" s="362"/>
      <c r="G46" s="362"/>
      <c r="H46" s="362"/>
      <c r="I46" s="362"/>
      <c r="J46" s="362"/>
      <c r="K46" s="370"/>
      <c r="L46" s="370"/>
      <c r="M46" s="370"/>
      <c r="N46" s="370"/>
      <c r="O46" s="383"/>
      <c r="P46" s="355"/>
      <c r="Q46" s="379"/>
      <c r="R46" s="379"/>
      <c r="S46" s="379"/>
      <c r="T46" s="379"/>
      <c r="U46" s="379"/>
      <c r="V46" s="523" t="s">
        <v>423</v>
      </c>
      <c r="W46" s="524">
        <v>91999906</v>
      </c>
      <c r="X46" s="525" t="s">
        <v>760</v>
      </c>
      <c r="Y46" s="525" t="s">
        <v>760</v>
      </c>
      <c r="Z46" s="292">
        <v>0.375</v>
      </c>
      <c r="AA46" s="292">
        <v>0.47916666666666669</v>
      </c>
      <c r="AB46" s="290">
        <v>9180</v>
      </c>
      <c r="AC46" s="479">
        <v>2.5</v>
      </c>
    </row>
    <row r="47" spans="1:31">
      <c r="A47" s="414" t="s">
        <v>55</v>
      </c>
      <c r="B47" s="369"/>
      <c r="C47" s="362"/>
      <c r="D47" s="362"/>
      <c r="E47" s="370"/>
      <c r="F47" s="362"/>
      <c r="G47" s="362"/>
      <c r="H47" s="362"/>
      <c r="I47" s="362"/>
      <c r="J47" s="362"/>
      <c r="K47" s="370"/>
      <c r="L47" s="370"/>
      <c r="M47" s="370"/>
      <c r="N47" s="370"/>
      <c r="O47" s="383"/>
      <c r="P47" s="355"/>
      <c r="Q47" s="379"/>
      <c r="R47" s="379"/>
      <c r="S47" s="379"/>
      <c r="T47" s="379"/>
      <c r="U47" s="379"/>
      <c r="V47" s="523" t="s">
        <v>423</v>
      </c>
      <c r="W47" s="524">
        <v>91999914</v>
      </c>
      <c r="X47" s="525" t="s">
        <v>761</v>
      </c>
      <c r="Y47" s="525" t="s">
        <v>761</v>
      </c>
      <c r="Z47" s="292">
        <v>0.375</v>
      </c>
      <c r="AA47" s="292">
        <v>0.47916666666666669</v>
      </c>
      <c r="AB47" s="290">
        <v>9180</v>
      </c>
      <c r="AC47" s="479">
        <v>2.5</v>
      </c>
    </row>
    <row r="48" spans="1:31">
      <c r="A48" s="424" t="s">
        <v>576</v>
      </c>
      <c r="B48" s="332">
        <f>ROUND(MIN(B$104,29800000)*'New Hire'!C56,0)</f>
        <v>728000</v>
      </c>
      <c r="C48" s="332">
        <f>ROUND(MIN(C$104,29800000)*'New Hire'!D56,0)</f>
        <v>644800</v>
      </c>
      <c r="D48" s="332">
        <f>ROUND(MIN(D$104,29800000)*'New Hire'!E56,0)</f>
        <v>0</v>
      </c>
      <c r="E48" s="332">
        <f>ROUND(MIN(E$104,29800000)*'New Hire'!F56,0)</f>
        <v>880000</v>
      </c>
      <c r="F48" s="332">
        <f>ROUND(MIN(F$104,29800000)*'New Hire'!G56,0)</f>
        <v>0</v>
      </c>
      <c r="G48" s="332">
        <f>ROUND(MIN(G$104,29800000)*'New Hire'!H56,0)</f>
        <v>0</v>
      </c>
      <c r="H48" s="332">
        <f>ROUND(MIN(H$104,29800000)*'New Hire'!I56,0)</f>
        <v>0</v>
      </c>
      <c r="I48" s="332">
        <f>ROUND(MIN(I$104,29800000)*'New Hire'!J56,0)</f>
        <v>0</v>
      </c>
      <c r="J48" s="332">
        <f>ROUND(MIN(J$104,29800000)*'New Hire'!K56,0)</f>
        <v>2384000</v>
      </c>
      <c r="K48" s="332">
        <f>ROUND(MIN(K$104,29800000)*'New Hire'!L56,0)</f>
        <v>0</v>
      </c>
      <c r="L48" s="332">
        <f>ROUND(MIN(L$104,29800000)*'New Hire'!M56,0)</f>
        <v>920000</v>
      </c>
      <c r="M48" s="332">
        <f>ROUND(MIN(M$104,29800000)*'New Hire'!N56,0)</f>
        <v>0</v>
      </c>
      <c r="N48" s="332">
        <f>ROUND(MIN(N$104,29800000)*'New Hire'!O56,0)</f>
        <v>0</v>
      </c>
      <c r="O48" s="332">
        <f>ROUND(MIN(O$104,29800000)*'New Hire'!P56,0)</f>
        <v>0</v>
      </c>
      <c r="P48" s="355">
        <f t="shared" ref="P48:P55" si="12">SUM(B48:O48)</f>
        <v>5556800</v>
      </c>
      <c r="Q48" s="379"/>
      <c r="R48" s="379"/>
      <c r="S48" s="379"/>
      <c r="T48" s="379"/>
      <c r="U48" s="379"/>
      <c r="V48" s="514" t="s">
        <v>423</v>
      </c>
      <c r="W48" s="518">
        <v>91999901</v>
      </c>
      <c r="X48" s="444" t="s">
        <v>762</v>
      </c>
      <c r="Y48" s="444" t="s">
        <v>762</v>
      </c>
      <c r="Z48" s="515">
        <v>0.70833333333333337</v>
      </c>
      <c r="AA48" s="515">
        <v>0.79166666666666663</v>
      </c>
      <c r="AB48" s="516">
        <v>9000</v>
      </c>
      <c r="AC48" s="517">
        <v>2</v>
      </c>
      <c r="AD48" s="293">
        <v>2</v>
      </c>
      <c r="AE48" s="293"/>
    </row>
    <row r="49" spans="1:31">
      <c r="A49" s="445" t="s">
        <v>577</v>
      </c>
      <c r="B49" s="332">
        <f>ROUND(MIN(B$104,83600000)*'New Hire'!C59,0)</f>
        <v>91000</v>
      </c>
      <c r="C49" s="332">
        <f>ROUND(MIN(C$104,83600000)*'New Hire'!D59,0)</f>
        <v>80600</v>
      </c>
      <c r="D49" s="332">
        <f>ROUND(MIN(D$104,83600000)*'New Hire'!E59,0)</f>
        <v>0</v>
      </c>
      <c r="E49" s="332">
        <f>ROUND(MIN(E$104,83600000)*'New Hire'!F59,0)</f>
        <v>110000</v>
      </c>
      <c r="F49" s="332">
        <f>ROUND(MIN(F$104,83600000)*'New Hire'!G59,0)</f>
        <v>0</v>
      </c>
      <c r="G49" s="332">
        <f>ROUND(MIN(G$104,83600000)*'New Hire'!H59,0)</f>
        <v>0</v>
      </c>
      <c r="H49" s="332">
        <f>ROUND(MIN(H$104,83600000)*'New Hire'!I59,0)</f>
        <v>0</v>
      </c>
      <c r="I49" s="332">
        <f>ROUND(MIN(I$104,83600000)*'New Hire'!J59,0)</f>
        <v>0</v>
      </c>
      <c r="J49" s="332">
        <f>ROUND(MIN(J$104,83600000)*'New Hire'!K59,0)</f>
        <v>715000</v>
      </c>
      <c r="K49" s="332">
        <f>ROUND(MIN(K$104,83600000)*'New Hire'!L59,0)</f>
        <v>0</v>
      </c>
      <c r="L49" s="332">
        <f>ROUND(MIN(L$104,83600000)*'New Hire'!M59,0)</f>
        <v>115000</v>
      </c>
      <c r="M49" s="332">
        <f>ROUND(MIN(M$104,83600000)*'New Hire'!N59,0)</f>
        <v>0</v>
      </c>
      <c r="N49" s="332">
        <f>ROUND(MIN(N$104,83600000)*'New Hire'!O59,0)</f>
        <v>0</v>
      </c>
      <c r="O49" s="332">
        <f>ROUND(MIN(O$104,83600000)*'New Hire'!P59,0)</f>
        <v>0</v>
      </c>
      <c r="P49" s="355">
        <f t="shared" si="12"/>
        <v>1111600</v>
      </c>
      <c r="Q49" s="379"/>
      <c r="R49" s="379"/>
      <c r="S49" s="379"/>
      <c r="T49" s="379"/>
      <c r="U49" s="379"/>
      <c r="V49" s="514" t="s">
        <v>423</v>
      </c>
      <c r="W49" s="518">
        <v>91999904</v>
      </c>
      <c r="X49" s="444" t="s">
        <v>763</v>
      </c>
      <c r="Y49" s="444" t="s">
        <v>763</v>
      </c>
      <c r="Z49" s="515">
        <v>0.5</v>
      </c>
      <c r="AA49" s="515">
        <v>0.70833333333333337</v>
      </c>
      <c r="AB49" s="516">
        <v>9000</v>
      </c>
      <c r="AC49" s="517">
        <v>5</v>
      </c>
      <c r="AD49" s="293">
        <v>5</v>
      </c>
      <c r="AE49" s="293"/>
    </row>
    <row r="50" spans="1:31">
      <c r="A50" s="445" t="s">
        <v>578</v>
      </c>
      <c r="B50" s="332">
        <f>ROUND(MIN(B$104,29800000)*'New Hire'!C62,0)</f>
        <v>136500</v>
      </c>
      <c r="C50" s="332">
        <f>ROUND(MIN(C$104,29800000)*'New Hire'!D62,0)</f>
        <v>120900</v>
      </c>
      <c r="D50" s="332">
        <f>ROUND(MIN(D$104,29800000)*'New Hire'!E62,0)</f>
        <v>0</v>
      </c>
      <c r="E50" s="332">
        <f>ROUND(MIN(E$104,29800000)*'New Hire'!F62,0)</f>
        <v>165000</v>
      </c>
      <c r="F50" s="332">
        <f>ROUND(MIN(F$104,29800000)*'New Hire'!G62,0)</f>
        <v>0</v>
      </c>
      <c r="G50" s="332">
        <f>ROUND(MIN(G$104,29800000)*'New Hire'!H62,0)</f>
        <v>0</v>
      </c>
      <c r="H50" s="332">
        <f>ROUND(MIN(H$104,29800000)*'New Hire'!I62,0)</f>
        <v>447000</v>
      </c>
      <c r="I50" s="332">
        <f>ROUND(MIN(I$104,29800000)*'New Hire'!J62,0)</f>
        <v>447000</v>
      </c>
      <c r="J50" s="332">
        <f>ROUND(MIN(J$104,29800000)*'New Hire'!K62,0)</f>
        <v>447000</v>
      </c>
      <c r="K50" s="332">
        <f>ROUND(MIN(K$104,29800000)*'New Hire'!L62,0)</f>
        <v>0</v>
      </c>
      <c r="L50" s="332">
        <f>ROUND(MIN(L$104,29800000)*'New Hire'!M62,0)</f>
        <v>172500</v>
      </c>
      <c r="M50" s="332">
        <f>ROUND(MIN(M$104,29800000)*'New Hire'!N62,0)</f>
        <v>0</v>
      </c>
      <c r="N50" s="332">
        <f>ROUND(MIN(N$104,29800000)*'New Hire'!O62,0)</f>
        <v>0</v>
      </c>
      <c r="O50" s="332">
        <f>ROUND(MIN(O$104,29800000)*'New Hire'!P62,0)</f>
        <v>0</v>
      </c>
      <c r="P50" s="355">
        <f t="shared" si="12"/>
        <v>1935900</v>
      </c>
      <c r="Q50" s="379"/>
      <c r="R50" s="379"/>
      <c r="S50" s="379"/>
      <c r="T50" s="379"/>
      <c r="U50" s="379"/>
      <c r="V50" s="514" t="s">
        <v>423</v>
      </c>
      <c r="W50" s="518">
        <v>91999904</v>
      </c>
      <c r="X50" s="444" t="s">
        <v>764</v>
      </c>
      <c r="Y50" s="444" t="s">
        <v>764</v>
      </c>
      <c r="Z50" s="515">
        <v>0.70833333333333337</v>
      </c>
      <c r="AA50" s="515">
        <v>0.83333333333333337</v>
      </c>
      <c r="AB50" s="516">
        <v>9000</v>
      </c>
      <c r="AC50" s="517">
        <v>3</v>
      </c>
      <c r="AD50" s="293">
        <v>3</v>
      </c>
      <c r="AE50" s="293"/>
    </row>
    <row r="51" spans="1:31">
      <c r="A51" s="412" t="s">
        <v>111</v>
      </c>
      <c r="B51" s="331">
        <f>B112</f>
        <v>0</v>
      </c>
      <c r="C51" s="332">
        <f>C112</f>
        <v>0</v>
      </c>
      <c r="D51" s="332">
        <f t="shared" ref="D51:O51" si="13">D112</f>
        <v>0</v>
      </c>
      <c r="E51" s="332">
        <f t="shared" si="13"/>
        <v>1243136</v>
      </c>
      <c r="F51" s="332">
        <f t="shared" si="13"/>
        <v>1667945</v>
      </c>
      <c r="G51" s="332">
        <f t="shared" si="13"/>
        <v>2351250</v>
      </c>
      <c r="H51" s="332">
        <f t="shared" si="13"/>
        <v>33803261</v>
      </c>
      <c r="I51" s="332">
        <f t="shared" si="13"/>
        <v>18099900</v>
      </c>
      <c r="J51" s="332">
        <f t="shared" si="13"/>
        <v>11836200</v>
      </c>
      <c r="K51" s="332">
        <f t="shared" si="13"/>
        <v>200000</v>
      </c>
      <c r="L51" s="332">
        <f t="shared" si="13"/>
        <v>64625</v>
      </c>
      <c r="M51" s="332">
        <f t="shared" si="13"/>
        <v>129808</v>
      </c>
      <c r="N51" s="332">
        <f t="shared" si="13"/>
        <v>123981</v>
      </c>
      <c r="O51" s="400">
        <f t="shared" si="13"/>
        <v>600000</v>
      </c>
      <c r="P51" s="355">
        <f t="shared" si="12"/>
        <v>70120106</v>
      </c>
      <c r="Q51" s="379"/>
      <c r="R51" s="379"/>
      <c r="S51" s="379"/>
      <c r="T51" s="379"/>
      <c r="U51" s="379"/>
      <c r="V51" s="514" t="s">
        <v>423</v>
      </c>
      <c r="W51" s="518">
        <v>91999912</v>
      </c>
      <c r="X51" s="444" t="s">
        <v>765</v>
      </c>
      <c r="Y51" s="444" t="s">
        <v>765</v>
      </c>
      <c r="Z51" s="515">
        <v>0.33333333333333331</v>
      </c>
      <c r="AA51" s="515">
        <v>0.75</v>
      </c>
      <c r="AB51" s="516">
        <v>9000</v>
      </c>
      <c r="AC51" s="517">
        <v>10</v>
      </c>
      <c r="AD51" s="293">
        <v>10</v>
      </c>
      <c r="AE51" s="293"/>
    </row>
    <row r="52" spans="1:31">
      <c r="A52" s="445" t="s">
        <v>514</v>
      </c>
      <c r="B52" s="332">
        <f t="shared" ref="B52:O52" si="14">B97-B41</f>
        <v>0</v>
      </c>
      <c r="C52" s="332">
        <f t="shared" si="14"/>
        <v>0</v>
      </c>
      <c r="D52" s="332">
        <f t="shared" si="14"/>
        <v>0</v>
      </c>
      <c r="E52" s="332">
        <f t="shared" si="14"/>
        <v>0</v>
      </c>
      <c r="F52" s="332">
        <f t="shared" si="14"/>
        <v>0</v>
      </c>
      <c r="G52" s="332">
        <f t="shared" si="14"/>
        <v>0</v>
      </c>
      <c r="H52" s="332">
        <f t="shared" si="14"/>
        <v>339726</v>
      </c>
      <c r="I52" s="332">
        <f t="shared" si="14"/>
        <v>0</v>
      </c>
      <c r="J52" s="332">
        <f t="shared" si="14"/>
        <v>0</v>
      </c>
      <c r="K52" s="332">
        <f t="shared" si="14"/>
        <v>0</v>
      </c>
      <c r="L52" s="332">
        <f t="shared" si="14"/>
        <v>0</v>
      </c>
      <c r="M52" s="332">
        <f t="shared" si="14"/>
        <v>0</v>
      </c>
      <c r="N52" s="332">
        <f t="shared" si="14"/>
        <v>0</v>
      </c>
      <c r="O52" s="332">
        <f t="shared" si="14"/>
        <v>0</v>
      </c>
      <c r="P52" s="355">
        <f t="shared" si="12"/>
        <v>339726</v>
      </c>
      <c r="Q52" s="379"/>
      <c r="R52" s="379"/>
      <c r="S52" s="379"/>
      <c r="T52" s="379"/>
      <c r="U52" s="379"/>
      <c r="V52" s="514" t="s">
        <v>423</v>
      </c>
      <c r="W52" s="518">
        <v>91999912</v>
      </c>
      <c r="X52" s="444" t="s">
        <v>762</v>
      </c>
      <c r="Y52" s="444" t="s">
        <v>762</v>
      </c>
      <c r="Z52" s="515">
        <v>0.70833333333333337</v>
      </c>
      <c r="AA52" s="515">
        <v>0.85416666666666663</v>
      </c>
      <c r="AB52" s="516">
        <v>9000</v>
      </c>
      <c r="AC52" s="517">
        <v>3.5</v>
      </c>
      <c r="AD52" s="293">
        <v>3.5</v>
      </c>
      <c r="AE52" s="293"/>
    </row>
    <row r="53" spans="1:31">
      <c r="A53" s="445" t="s">
        <v>535</v>
      </c>
      <c r="B53" s="332">
        <f>B42</f>
        <v>201270</v>
      </c>
      <c r="C53" s="332">
        <f t="shared" ref="C53:O53" si="15">C42</f>
        <v>402540</v>
      </c>
      <c r="D53" s="332">
        <f t="shared" si="15"/>
        <v>0</v>
      </c>
      <c r="E53" s="332">
        <f t="shared" si="15"/>
        <v>301905</v>
      </c>
      <c r="F53" s="332">
        <f t="shared" si="15"/>
        <v>0</v>
      </c>
      <c r="G53" s="332">
        <f t="shared" si="15"/>
        <v>0</v>
      </c>
      <c r="H53" s="332">
        <f t="shared" si="15"/>
        <v>9722330</v>
      </c>
      <c r="I53" s="332">
        <f t="shared" si="15"/>
        <v>0</v>
      </c>
      <c r="J53" s="332">
        <f t="shared" si="15"/>
        <v>0</v>
      </c>
      <c r="K53" s="332">
        <f t="shared" si="15"/>
        <v>0</v>
      </c>
      <c r="L53" s="332">
        <f t="shared" si="15"/>
        <v>0</v>
      </c>
      <c r="M53" s="332">
        <f t="shared" si="15"/>
        <v>0</v>
      </c>
      <c r="N53" s="332">
        <f t="shared" si="15"/>
        <v>0</v>
      </c>
      <c r="O53" s="332">
        <f t="shared" si="15"/>
        <v>0</v>
      </c>
      <c r="P53" s="346">
        <f t="shared" si="12"/>
        <v>10628045</v>
      </c>
      <c r="Q53" s="379"/>
      <c r="R53" s="379"/>
      <c r="S53" s="379"/>
      <c r="T53" s="379"/>
      <c r="U53" s="379"/>
      <c r="V53" s="514" t="s">
        <v>423</v>
      </c>
      <c r="W53" s="518">
        <v>91999912</v>
      </c>
      <c r="X53" s="444" t="s">
        <v>766</v>
      </c>
      <c r="Y53" s="444" t="s">
        <v>766</v>
      </c>
      <c r="Z53" s="515">
        <v>0.70833333333333337</v>
      </c>
      <c r="AA53" s="515">
        <v>0.83333333333333337</v>
      </c>
      <c r="AB53" s="516">
        <v>9000</v>
      </c>
      <c r="AC53" s="517">
        <v>3</v>
      </c>
      <c r="AD53" s="293">
        <v>3</v>
      </c>
      <c r="AE53" s="293"/>
    </row>
    <row r="54" spans="1:31">
      <c r="A54" s="445" t="s">
        <v>538</v>
      </c>
      <c r="B54" s="332">
        <f>B98</f>
        <v>594521</v>
      </c>
      <c r="C54" s="332">
        <f t="shared" ref="C54:O54" si="16">C98</f>
        <v>594521</v>
      </c>
      <c r="D54" s="332">
        <f t="shared" si="16"/>
        <v>0</v>
      </c>
      <c r="E54" s="332">
        <f t="shared" si="16"/>
        <v>594521</v>
      </c>
      <c r="F54" s="332">
        <f t="shared" si="16"/>
        <v>594521</v>
      </c>
      <c r="G54" s="332">
        <f t="shared" si="16"/>
        <v>0</v>
      </c>
      <c r="H54" s="332">
        <f t="shared" si="16"/>
        <v>594521</v>
      </c>
      <c r="I54" s="332">
        <f t="shared" si="16"/>
        <v>0</v>
      </c>
      <c r="J54" s="332">
        <f t="shared" si="16"/>
        <v>0</v>
      </c>
      <c r="K54" s="332">
        <f t="shared" si="16"/>
        <v>0</v>
      </c>
      <c r="L54" s="332">
        <f t="shared" si="16"/>
        <v>0</v>
      </c>
      <c r="M54" s="332">
        <f t="shared" si="16"/>
        <v>0</v>
      </c>
      <c r="N54" s="332">
        <f t="shared" si="16"/>
        <v>0</v>
      </c>
      <c r="O54" s="332">
        <f t="shared" si="16"/>
        <v>0</v>
      </c>
      <c r="P54" s="344">
        <f t="shared" si="12"/>
        <v>2972605</v>
      </c>
      <c r="Q54" s="379"/>
      <c r="R54" s="379"/>
      <c r="S54" s="347"/>
      <c r="T54" s="347"/>
      <c r="U54" s="347"/>
      <c r="V54" s="514" t="s">
        <v>423</v>
      </c>
      <c r="W54" s="518">
        <v>91999912</v>
      </c>
      <c r="X54" s="444" t="s">
        <v>767</v>
      </c>
      <c r="Y54" s="444" t="s">
        <v>767</v>
      </c>
      <c r="Z54" s="515">
        <v>0.83333333333333337</v>
      </c>
      <c r="AA54" s="515">
        <v>0</v>
      </c>
      <c r="AB54" s="516">
        <v>9000</v>
      </c>
      <c r="AC54" s="517">
        <v>4</v>
      </c>
      <c r="AD54" s="293">
        <v>2</v>
      </c>
      <c r="AE54" s="293">
        <v>2</v>
      </c>
    </row>
    <row r="55" spans="1:31">
      <c r="A55" s="445" t="s">
        <v>539</v>
      </c>
      <c r="B55" s="332">
        <f>IF(OR(B21="A",B21="B"),0,ROUND(ROUND(297.1*$B$4,0)/365*B18,0))*B22</f>
        <v>0</v>
      </c>
      <c r="C55" s="332">
        <f t="shared" ref="C55:O55" si="17">IF(OR(C21="A",C21="B"),0,ROUND(ROUND(297.1*$B$4,0)/365*C18,0))*C22</f>
        <v>0</v>
      </c>
      <c r="D55" s="332">
        <f t="shared" si="17"/>
        <v>0</v>
      </c>
      <c r="E55" s="332">
        <f t="shared" si="17"/>
        <v>0</v>
      </c>
      <c r="F55" s="332">
        <f t="shared" si="17"/>
        <v>0</v>
      </c>
      <c r="G55" s="332">
        <f t="shared" si="17"/>
        <v>0</v>
      </c>
      <c r="H55" s="332">
        <f t="shared" si="17"/>
        <v>1171070</v>
      </c>
      <c r="I55" s="332">
        <f t="shared" si="17"/>
        <v>0</v>
      </c>
      <c r="J55" s="332">
        <f t="shared" si="17"/>
        <v>0</v>
      </c>
      <c r="K55" s="332">
        <f t="shared" si="17"/>
        <v>0</v>
      </c>
      <c r="L55" s="332">
        <f t="shared" si="17"/>
        <v>0</v>
      </c>
      <c r="M55" s="332">
        <f t="shared" si="17"/>
        <v>0</v>
      </c>
      <c r="N55" s="332">
        <f t="shared" si="17"/>
        <v>0</v>
      </c>
      <c r="O55" s="332">
        <f t="shared" si="17"/>
        <v>0</v>
      </c>
      <c r="P55" s="346">
        <f t="shared" si="12"/>
        <v>1171070</v>
      </c>
      <c r="Q55" s="347"/>
      <c r="R55" s="347"/>
      <c r="S55" s="347"/>
      <c r="T55" s="347"/>
      <c r="U55" s="347"/>
      <c r="V55" s="514" t="s">
        <v>423</v>
      </c>
      <c r="W55" s="518">
        <v>91999912</v>
      </c>
      <c r="X55" s="444" t="s">
        <v>768</v>
      </c>
      <c r="Y55" s="444" t="s">
        <v>768</v>
      </c>
      <c r="Z55" s="515">
        <v>0.70833333333333337</v>
      </c>
      <c r="AA55" s="515">
        <v>0.8125</v>
      </c>
      <c r="AB55" s="516">
        <v>9000</v>
      </c>
      <c r="AC55" s="517">
        <v>2.5</v>
      </c>
      <c r="AD55" s="293">
        <v>2.5</v>
      </c>
      <c r="AE55" s="293"/>
    </row>
    <row r="56" spans="1:31">
      <c r="A56" s="412"/>
      <c r="B56" s="371"/>
      <c r="C56" s="372"/>
      <c r="D56" s="372"/>
      <c r="E56" s="373"/>
      <c r="F56" s="372"/>
      <c r="G56" s="372"/>
      <c r="H56" s="372"/>
      <c r="I56" s="372"/>
      <c r="J56" s="372"/>
      <c r="K56" s="373"/>
      <c r="L56" s="373"/>
      <c r="M56" s="373"/>
      <c r="N56" s="373"/>
      <c r="O56" s="403"/>
      <c r="P56" s="355"/>
      <c r="Q56" s="379"/>
      <c r="R56" s="379"/>
      <c r="S56" s="379"/>
      <c r="T56" s="379"/>
      <c r="U56" s="379"/>
      <c r="V56" s="514" t="s">
        <v>423</v>
      </c>
      <c r="W56" s="518">
        <v>91999912</v>
      </c>
      <c r="X56" s="444" t="s">
        <v>769</v>
      </c>
      <c r="Y56" s="444" t="s">
        <v>769</v>
      </c>
      <c r="Z56" s="515">
        <v>0.70833333333333337</v>
      </c>
      <c r="AA56" s="515">
        <v>0.83333333333333337</v>
      </c>
      <c r="AB56" s="516">
        <v>9000</v>
      </c>
      <c r="AC56" s="517">
        <v>3</v>
      </c>
      <c r="AD56" s="293">
        <v>3</v>
      </c>
      <c r="AE56" s="293"/>
    </row>
    <row r="57" spans="1:31">
      <c r="A57" s="420" t="s">
        <v>4</v>
      </c>
      <c r="B57" s="365">
        <f t="shared" ref="B57:O57" si="18">SUM(B48:B56)</f>
        <v>1751291</v>
      </c>
      <c r="C57" s="366">
        <f t="shared" si="18"/>
        <v>1843361</v>
      </c>
      <c r="D57" s="366">
        <f t="shared" si="18"/>
        <v>0</v>
      </c>
      <c r="E57" s="366">
        <f t="shared" si="18"/>
        <v>3294562</v>
      </c>
      <c r="F57" s="366">
        <f t="shared" si="18"/>
        <v>2262466</v>
      </c>
      <c r="G57" s="366">
        <f t="shared" si="18"/>
        <v>2351250</v>
      </c>
      <c r="H57" s="366">
        <f t="shared" si="18"/>
        <v>46077908</v>
      </c>
      <c r="I57" s="366">
        <f t="shared" si="18"/>
        <v>18546900</v>
      </c>
      <c r="J57" s="366">
        <f t="shared" si="18"/>
        <v>15382200</v>
      </c>
      <c r="K57" s="366">
        <f t="shared" si="18"/>
        <v>200000</v>
      </c>
      <c r="L57" s="366">
        <f t="shared" si="18"/>
        <v>1272125</v>
      </c>
      <c r="M57" s="366">
        <f t="shared" si="18"/>
        <v>129808</v>
      </c>
      <c r="N57" s="495">
        <f t="shared" si="18"/>
        <v>123981</v>
      </c>
      <c r="O57" s="496">
        <f t="shared" si="18"/>
        <v>600000</v>
      </c>
      <c r="P57" s="355">
        <f>SUM(B57:O57)</f>
        <v>93835852</v>
      </c>
      <c r="Q57" s="379"/>
      <c r="R57" s="379"/>
      <c r="S57" s="379"/>
      <c r="T57" s="379"/>
      <c r="U57" s="379"/>
      <c r="V57" s="514" t="s">
        <v>423</v>
      </c>
      <c r="W57" s="518">
        <v>91999912</v>
      </c>
      <c r="X57" s="444" t="s">
        <v>770</v>
      </c>
      <c r="Y57" s="444" t="s">
        <v>770</v>
      </c>
      <c r="Z57" s="515">
        <v>0.70833333333333337</v>
      </c>
      <c r="AA57" s="515">
        <v>0.875</v>
      </c>
      <c r="AB57" s="516">
        <v>9000</v>
      </c>
      <c r="AC57" s="517">
        <v>4</v>
      </c>
      <c r="AD57" s="293">
        <v>4</v>
      </c>
      <c r="AE57" s="293"/>
    </row>
    <row r="58" spans="1:31">
      <c r="A58" s="421"/>
      <c r="B58" s="331"/>
      <c r="C58" s="332"/>
      <c r="D58" s="332"/>
      <c r="E58" s="340"/>
      <c r="F58" s="332"/>
      <c r="G58" s="332"/>
      <c r="H58" s="332"/>
      <c r="I58" s="332"/>
      <c r="J58" s="332"/>
      <c r="K58" s="340"/>
      <c r="L58" s="340"/>
      <c r="M58" s="340"/>
      <c r="N58" s="340"/>
      <c r="O58" s="401"/>
      <c r="P58" s="355"/>
      <c r="Q58" s="379"/>
      <c r="R58" s="379"/>
      <c r="S58" s="379"/>
      <c r="T58" s="379"/>
      <c r="U58" s="379"/>
      <c r="V58" s="514" t="s">
        <v>423</v>
      </c>
      <c r="W58" s="518">
        <v>91999913</v>
      </c>
      <c r="X58" s="444" t="s">
        <v>772</v>
      </c>
      <c r="Y58" s="444" t="s">
        <v>772</v>
      </c>
      <c r="Z58" s="515">
        <v>0.91666666666666663</v>
      </c>
      <c r="AA58" s="515">
        <v>0</v>
      </c>
      <c r="AB58" s="516">
        <v>9000</v>
      </c>
      <c r="AC58" s="517">
        <v>2</v>
      </c>
      <c r="AD58" s="293"/>
      <c r="AE58" s="293">
        <v>2</v>
      </c>
    </row>
    <row r="59" spans="1:31" ht="14.4" thickBot="1">
      <c r="A59" s="417" t="s">
        <v>5</v>
      </c>
      <c r="B59" s="333">
        <f t="shared" ref="B59:O59" si="19">B44-B57</f>
        <v>7469864</v>
      </c>
      <c r="C59" s="334">
        <f t="shared" si="19"/>
        <v>6216639</v>
      </c>
      <c r="D59" s="334">
        <f t="shared" si="19"/>
        <v>6000000</v>
      </c>
      <c r="E59" s="334">
        <f t="shared" si="19"/>
        <v>8510247</v>
      </c>
      <c r="F59" s="334">
        <f t="shared" si="19"/>
        <v>13737534</v>
      </c>
      <c r="G59" s="334">
        <f t="shared" si="19"/>
        <v>26655000</v>
      </c>
      <c r="H59" s="334">
        <f t="shared" si="19"/>
        <v>112876342</v>
      </c>
      <c r="I59" s="334">
        <f t="shared" si="19"/>
        <v>71952600</v>
      </c>
      <c r="J59" s="334">
        <f t="shared" si="19"/>
        <v>56117800</v>
      </c>
      <c r="K59" s="334">
        <f t="shared" si="19"/>
        <v>12800000</v>
      </c>
      <c r="L59" s="334">
        <f t="shared" si="19"/>
        <v>10227875</v>
      </c>
      <c r="M59" s="334">
        <f t="shared" si="19"/>
        <v>12195011</v>
      </c>
      <c r="N59" s="334">
        <f t="shared" si="19"/>
        <v>11567943</v>
      </c>
      <c r="O59" s="404">
        <f t="shared" si="19"/>
        <v>5400000</v>
      </c>
      <c r="P59" s="355">
        <f>SUM(B59:O59)</f>
        <v>361726855</v>
      </c>
      <c r="Q59" s="379"/>
      <c r="R59" s="379"/>
      <c r="S59" s="379"/>
      <c r="T59" s="379"/>
      <c r="U59" s="379"/>
      <c r="V59" s="514" t="s">
        <v>423</v>
      </c>
      <c r="W59" s="518">
        <v>91999913</v>
      </c>
      <c r="X59" s="444" t="s">
        <v>771</v>
      </c>
      <c r="Y59" s="444" t="s">
        <v>771</v>
      </c>
      <c r="Z59" s="515">
        <v>0.70833333333333337</v>
      </c>
      <c r="AA59" s="515">
        <v>0.875</v>
      </c>
      <c r="AB59" s="516">
        <v>9000</v>
      </c>
      <c r="AC59" s="517">
        <v>4</v>
      </c>
      <c r="AD59" s="293">
        <v>4</v>
      </c>
      <c r="AE59" s="293"/>
    </row>
    <row r="60" spans="1:31" ht="14.4" thickTop="1">
      <c r="A60" s="422"/>
      <c r="B60" s="331"/>
      <c r="C60" s="332"/>
      <c r="D60" s="332"/>
      <c r="E60" s="340"/>
      <c r="F60" s="332"/>
      <c r="G60" s="332"/>
      <c r="H60" s="332"/>
      <c r="I60" s="332"/>
      <c r="J60" s="332"/>
      <c r="K60" s="340"/>
      <c r="L60" s="340"/>
      <c r="M60" s="340"/>
      <c r="N60" s="340"/>
      <c r="O60" s="401"/>
      <c r="P60" s="355"/>
      <c r="Q60" s="347"/>
      <c r="R60" s="347"/>
      <c r="S60" s="347"/>
      <c r="T60" s="347"/>
      <c r="U60" s="347"/>
      <c r="V60" s="33"/>
      <c r="W60" s="45"/>
      <c r="X60" s="13"/>
      <c r="Y60" s="13"/>
      <c r="Z60" s="13"/>
      <c r="AA60" s="13"/>
      <c r="AB60" s="13"/>
      <c r="AC60" s="18"/>
    </row>
    <row r="61" spans="1:31" ht="15.6">
      <c r="A61" s="411" t="s">
        <v>62</v>
      </c>
      <c r="B61" s="374"/>
      <c r="C61" s="405"/>
      <c r="D61" s="405"/>
      <c r="E61" s="370"/>
      <c r="F61" s="405"/>
      <c r="G61" s="405"/>
      <c r="H61" s="406"/>
      <c r="I61" s="405"/>
      <c r="J61" s="405"/>
      <c r="K61" s="370"/>
      <c r="L61" s="370"/>
      <c r="M61" s="370"/>
      <c r="N61" s="370"/>
      <c r="O61" s="383"/>
      <c r="P61" s="383"/>
      <c r="Q61" s="379"/>
      <c r="R61" s="379"/>
      <c r="S61" s="379"/>
      <c r="T61" s="379"/>
      <c r="U61" s="379"/>
      <c r="V61" s="33"/>
      <c r="W61" s="45"/>
      <c r="X61" s="13"/>
      <c r="Y61" s="13"/>
      <c r="Z61" s="13"/>
      <c r="AA61" s="13"/>
      <c r="AB61" s="13"/>
      <c r="AC61" s="18"/>
    </row>
    <row r="62" spans="1:31">
      <c r="A62" s="424" t="s">
        <v>573</v>
      </c>
      <c r="B62" s="332">
        <f>ROUND(MIN(B$104,29800000)*'New Hire'!C57,0)</f>
        <v>1547000</v>
      </c>
      <c r="C62" s="332">
        <f>ROUND(MIN(C$104,29800000)*'New Hire'!D57,0)</f>
        <v>1410500</v>
      </c>
      <c r="D62" s="332">
        <f>ROUND(MIN(D$104,29800000)*'New Hire'!E57,0)</f>
        <v>0</v>
      </c>
      <c r="E62" s="332">
        <f>ROUND(MIN(E$104,29800000)*'New Hire'!F57,0)</f>
        <v>1870000</v>
      </c>
      <c r="F62" s="332">
        <f>ROUND(MIN(F$104,29800000)*'New Hire'!G57,0)</f>
        <v>0</v>
      </c>
      <c r="G62" s="332">
        <f>ROUND(MIN(G$104,29800000)*'New Hire'!H57,0)</f>
        <v>0</v>
      </c>
      <c r="H62" s="332">
        <f>ROUND(MIN(H$104,29800000)*'New Hire'!I57,0)</f>
        <v>894000</v>
      </c>
      <c r="I62" s="332">
        <f>ROUND(MIN(I$104,29800000)*'New Hire'!J57,0)</f>
        <v>149000</v>
      </c>
      <c r="J62" s="332">
        <f>ROUND(MIN(J$104,29800000)*'New Hire'!K57,0)</f>
        <v>5066000</v>
      </c>
      <c r="K62" s="332">
        <f>ROUND(MIN(K$104,29800000)*'New Hire'!L57,0)</f>
        <v>0</v>
      </c>
      <c r="L62" s="332">
        <f>ROUND(MIN(L$104,29800000)*'New Hire'!M57,0)</f>
        <v>1955000</v>
      </c>
      <c r="M62" s="332">
        <f>ROUND(MIN(M$104,29800000)*'New Hire'!N57,0)</f>
        <v>0</v>
      </c>
      <c r="N62" s="332">
        <f>ROUND(MIN(N$104,29800000)*'New Hire'!O57,0)</f>
        <v>0</v>
      </c>
      <c r="O62" s="400">
        <f>ROUND(MIN(O$104,29800000)*'New Hire'!P57,0)</f>
        <v>0</v>
      </c>
      <c r="P62" s="346">
        <f>SUM(B62:O62)</f>
        <v>12891500</v>
      </c>
      <c r="Q62" s="379"/>
      <c r="R62" s="379"/>
      <c r="S62" s="379"/>
      <c r="T62" s="379"/>
      <c r="U62" s="379"/>
      <c r="V62" s="33"/>
      <c r="W62" s="45"/>
      <c r="X62" s="13"/>
      <c r="Y62" s="13"/>
      <c r="Z62" s="13"/>
      <c r="AA62" s="13"/>
      <c r="AB62" s="13"/>
      <c r="AC62" s="18"/>
    </row>
    <row r="63" spans="1:31">
      <c r="A63" s="445" t="s">
        <v>574</v>
      </c>
      <c r="B63" s="332">
        <f>ROUND(MIN(B$104,83600000)*'New Hire'!C60,0)</f>
        <v>91000</v>
      </c>
      <c r="C63" s="332">
        <f>ROUND(MIN(C$104,83600000)*'New Hire'!D60,0)</f>
        <v>80600</v>
      </c>
      <c r="D63" s="332">
        <f>ROUND(MIN(D$104,83600000)*'New Hire'!E60,0)</f>
        <v>0</v>
      </c>
      <c r="E63" s="332">
        <f>ROUND(MIN(E$104,83600000)*'New Hire'!F60,0)</f>
        <v>110000</v>
      </c>
      <c r="F63" s="332">
        <f>ROUND(MIN(F$104,83600000)*'New Hire'!G60,0)</f>
        <v>0</v>
      </c>
      <c r="G63" s="332">
        <f>ROUND(MIN(G$104,83600000)*'New Hire'!H60,0)</f>
        <v>0</v>
      </c>
      <c r="H63" s="332">
        <f>ROUND(MIN(H$104,83600000)*'New Hire'!I60,0)</f>
        <v>0</v>
      </c>
      <c r="I63" s="332">
        <f>ROUND(MIN(I$104,83600000)*'New Hire'!J60,0)</f>
        <v>0</v>
      </c>
      <c r="J63" s="332">
        <f>ROUND(MIN(J$104,83600000)*'New Hire'!K60,0)</f>
        <v>715000</v>
      </c>
      <c r="K63" s="332">
        <f>ROUND(MIN(K$104,83600000)*'New Hire'!L60,0)</f>
        <v>0</v>
      </c>
      <c r="L63" s="332">
        <f>ROUND(MIN(L$104,83600000)*'New Hire'!M60,0)</f>
        <v>115000</v>
      </c>
      <c r="M63" s="332">
        <f>ROUND(MIN(M$104,83600000)*'New Hire'!N60,0)</f>
        <v>0</v>
      </c>
      <c r="N63" s="332">
        <f>ROUND(MIN(N$104,83600000)*'New Hire'!O60,0)</f>
        <v>0</v>
      </c>
      <c r="O63" s="400">
        <f>ROUND(MIN(O$104,83600000)*'New Hire'!P60,0)</f>
        <v>0</v>
      </c>
      <c r="P63" s="346">
        <f>SUM(B63:O63)</f>
        <v>1111600</v>
      </c>
      <c r="Q63" s="379"/>
      <c r="R63" s="379"/>
      <c r="S63" s="379"/>
      <c r="T63" s="379"/>
      <c r="U63" s="379"/>
      <c r="V63" s="32"/>
      <c r="W63" s="44"/>
      <c r="X63" s="13"/>
      <c r="Y63" s="13"/>
      <c r="Z63" s="13"/>
      <c r="AA63" s="13"/>
      <c r="AB63" s="13"/>
      <c r="AC63" s="18"/>
    </row>
    <row r="64" spans="1:31">
      <c r="A64" s="445" t="s">
        <v>575</v>
      </c>
      <c r="B64" s="332">
        <f>ROUND(MIN(B$104,29800000)*'New Hire'!C63,0)</f>
        <v>273000</v>
      </c>
      <c r="C64" s="332">
        <f>ROUND(MIN(C$104,29800000)*'New Hire'!D63,0)</f>
        <v>241800</v>
      </c>
      <c r="D64" s="332">
        <f>ROUND(MIN(D$104,29800000)*'New Hire'!E63,0)</f>
        <v>0</v>
      </c>
      <c r="E64" s="332">
        <f>ROUND(MIN(E$104,29800000)*'New Hire'!F63,0)</f>
        <v>330000</v>
      </c>
      <c r="F64" s="332">
        <f>ROUND(MIN(F$104,29800000)*'New Hire'!G63,0)</f>
        <v>0</v>
      </c>
      <c r="G64" s="332">
        <f>ROUND(MIN(G$104,29800000)*'New Hire'!H63,0)</f>
        <v>0</v>
      </c>
      <c r="H64" s="332">
        <f>ROUND(MIN(H$104,29800000)*'New Hire'!I63,0)</f>
        <v>894000</v>
      </c>
      <c r="I64" s="332">
        <f>ROUND(MIN(I$104,29800000)*'New Hire'!J63,0)</f>
        <v>894000</v>
      </c>
      <c r="J64" s="332">
        <f>ROUND(MIN(J$104,29800000)*'New Hire'!K63,0)</f>
        <v>894000</v>
      </c>
      <c r="K64" s="332">
        <f>ROUND(MIN(K$104,29800000)*'New Hire'!L63,0)</f>
        <v>0</v>
      </c>
      <c r="L64" s="332">
        <f>ROUND(MIN(L$104,29800000)*'New Hire'!M63,0)</f>
        <v>345000</v>
      </c>
      <c r="M64" s="332">
        <f>ROUND(MIN(M$104,29800000)*'New Hire'!N63,0)</f>
        <v>0</v>
      </c>
      <c r="N64" s="332">
        <f>ROUND(MIN(N$104,29800000)*'New Hire'!O63,0)</f>
        <v>0</v>
      </c>
      <c r="O64" s="400">
        <f>ROUND(MIN(O$104,29800000)*'New Hire'!P63,0)</f>
        <v>0</v>
      </c>
      <c r="P64" s="346">
        <f>SUM(B64:O64)</f>
        <v>3871800</v>
      </c>
      <c r="Q64" s="379"/>
      <c r="R64" s="379"/>
      <c r="S64" s="379"/>
      <c r="T64" s="379"/>
      <c r="U64" s="379"/>
      <c r="V64" s="34"/>
      <c r="W64" s="46"/>
      <c r="X64" s="35"/>
      <c r="Y64" s="35"/>
      <c r="Z64" s="35"/>
      <c r="AA64" s="35"/>
      <c r="AB64" s="35"/>
      <c r="AC64" s="36"/>
    </row>
    <row r="65" spans="1:29">
      <c r="A65" s="445" t="s">
        <v>1131</v>
      </c>
      <c r="B65" s="332">
        <f t="shared" ref="B65:O65" si="20">ROUND(MIN(B104,29800000)*2%,0)</f>
        <v>182000</v>
      </c>
      <c r="C65" s="332">
        <f t="shared" si="20"/>
        <v>161200</v>
      </c>
      <c r="D65" s="332">
        <f t="shared" si="20"/>
        <v>0</v>
      </c>
      <c r="E65" s="332">
        <f t="shared" si="20"/>
        <v>220000</v>
      </c>
      <c r="F65" s="332">
        <f t="shared" si="20"/>
        <v>320000</v>
      </c>
      <c r="G65" s="332">
        <f t="shared" si="20"/>
        <v>0</v>
      </c>
      <c r="H65" s="332">
        <f t="shared" si="20"/>
        <v>596000</v>
      </c>
      <c r="I65" s="332">
        <f t="shared" si="20"/>
        <v>596000</v>
      </c>
      <c r="J65" s="332">
        <f t="shared" si="20"/>
        <v>596000</v>
      </c>
      <c r="K65" s="332">
        <f t="shared" si="20"/>
        <v>260000</v>
      </c>
      <c r="L65" s="332">
        <f t="shared" si="20"/>
        <v>230000</v>
      </c>
      <c r="M65" s="332">
        <f t="shared" si="20"/>
        <v>210000</v>
      </c>
      <c r="N65" s="332">
        <f t="shared" si="20"/>
        <v>217000</v>
      </c>
      <c r="O65" s="400">
        <f t="shared" si="20"/>
        <v>120000</v>
      </c>
      <c r="P65" s="355">
        <f t="shared" ref="P65" si="21">SUM(B65:O65)-J65</f>
        <v>3112200</v>
      </c>
      <c r="Q65" s="379"/>
      <c r="R65" s="379"/>
      <c r="S65" s="379"/>
      <c r="T65" s="379"/>
      <c r="U65" s="379"/>
      <c r="V65"/>
      <c r="W65"/>
      <c r="X65"/>
      <c r="Y65"/>
      <c r="Z65"/>
      <c r="AA65"/>
      <c r="AB65"/>
      <c r="AC65"/>
    </row>
    <row r="66" spans="1:29">
      <c r="A66" s="412"/>
      <c r="B66" s="331"/>
      <c r="C66" s="332"/>
      <c r="D66" s="332"/>
      <c r="E66" s="340"/>
      <c r="F66" s="332"/>
      <c r="G66" s="332"/>
      <c r="H66" s="332"/>
      <c r="I66" s="332"/>
      <c r="J66" s="332"/>
      <c r="K66" s="340"/>
      <c r="L66" s="340"/>
      <c r="M66" s="340"/>
      <c r="N66" s="340"/>
      <c r="O66" s="401"/>
      <c r="P66" s="346"/>
      <c r="Q66" s="379"/>
      <c r="R66" s="379"/>
      <c r="S66" s="379"/>
      <c r="T66" s="379"/>
      <c r="U66" s="379"/>
      <c r="V66"/>
      <c r="W66"/>
      <c r="X66"/>
      <c r="Y66"/>
      <c r="Z66"/>
      <c r="AA66"/>
      <c r="AB66"/>
      <c r="AC66"/>
    </row>
    <row r="67" spans="1:29" ht="15.6">
      <c r="A67" s="411" t="s">
        <v>475</v>
      </c>
      <c r="B67" s="331"/>
      <c r="C67" s="332"/>
      <c r="D67" s="332"/>
      <c r="E67" s="340"/>
      <c r="F67" s="332"/>
      <c r="G67" s="332"/>
      <c r="H67" s="332"/>
      <c r="I67" s="332"/>
      <c r="J67" s="332"/>
      <c r="K67" s="340"/>
      <c r="L67" s="340"/>
      <c r="M67" s="340"/>
      <c r="N67" s="340"/>
      <c r="O67" s="401"/>
      <c r="P67" s="346"/>
      <c r="Q67" s="379"/>
      <c r="R67" s="379"/>
      <c r="S67" s="379"/>
      <c r="T67" s="379"/>
      <c r="U67" s="379"/>
      <c r="V67"/>
      <c r="W67"/>
      <c r="X67"/>
      <c r="Y67"/>
      <c r="Z67"/>
      <c r="AA67"/>
      <c r="AB67"/>
      <c r="AC67"/>
    </row>
    <row r="68" spans="1:29">
      <c r="A68" s="445" t="s">
        <v>476</v>
      </c>
      <c r="B68" s="332">
        <f>IF(OR(B12="1",B12="P"),ROUND(B131*B94,0),0)+'UAT6-Jun'!B70</f>
        <v>3233097</v>
      </c>
      <c r="C68" s="332">
        <f>IF(OR(C12="1",C12="P"),ROUND(C131*C94,0),0)+'UAT6-Jun'!C70</f>
        <v>2526350</v>
      </c>
      <c r="D68" s="332">
        <f>IF(OR(D12="1",D12="P"),ROUND(D131*D94,0),0)+'UAT6-Jun'!D70</f>
        <v>0</v>
      </c>
      <c r="E68" s="332">
        <f>IF(OR(E12="1",E12="P"),ROUND(E131*E94,0),0)+'UAT6-Jun'!E70</f>
        <v>1735633</v>
      </c>
      <c r="F68" s="332">
        <f>IF(OR(F12="1",F12="P"),ROUND(F131*F94,0),0)+'UAT6-Jun'!F70</f>
        <v>0</v>
      </c>
      <c r="G68" s="332">
        <f>IF(OR(G12="1",G12="P"),ROUND(G131*G94,0),0)+'UAT6-Jun'!G70</f>
        <v>0</v>
      </c>
      <c r="H68" s="332">
        <f>IF(OR(H12="1",H12="P"),ROUND(H131*H94,0),0)+'UAT6-Jun'!H70</f>
        <v>0</v>
      </c>
      <c r="I68" s="332">
        <f>IF(OR(I12="1",I12="P"),ROUND(I131*I94,0),0)+'UAT6-Jun'!I70</f>
        <v>0</v>
      </c>
      <c r="J68" s="332">
        <f>IF(OR(J12="1",J12="P"),ROUND(J131*J94,0),0)+'UAT6-Jun'!J70</f>
        <v>23902645</v>
      </c>
      <c r="K68" s="332">
        <f>IF(OR(K12="1",K12="P"),ROUND(K131*K94,0),0)+'UAT6-Jun'!K70</f>
        <v>4975256</v>
      </c>
      <c r="L68" s="332">
        <f>IF(OR(L12="1",L12="P"),ROUND(L131*L94,0),0)+'UAT6-Jun'!L70</f>
        <v>39331770</v>
      </c>
      <c r="M68" s="332">
        <f>IF(OR(M12="1",M12="P"),ROUND(M131*M94,0),0)+'UAT6-Jun'!M70</f>
        <v>0</v>
      </c>
      <c r="N68" s="332">
        <f>IF(OR(N12="1",N12="P"),ROUND(N131*N94,0),0)+'UAT6-Jun'!N70</f>
        <v>0</v>
      </c>
      <c r="O68" s="332">
        <f>IF(OR(O12="1",O12="P"),ROUND(O131*O94,0),0)+'UAT6-Jun'!O70</f>
        <v>1517242</v>
      </c>
      <c r="P68" s="346">
        <f>SUM(B68:O68)</f>
        <v>77221993</v>
      </c>
      <c r="Q68" s="379"/>
      <c r="R68" s="379"/>
      <c r="S68" s="379"/>
      <c r="T68" s="379"/>
      <c r="U68" s="379"/>
      <c r="V68"/>
      <c r="W68"/>
      <c r="X68"/>
      <c r="Y68"/>
      <c r="Z68"/>
      <c r="AA68"/>
      <c r="AB68"/>
      <c r="AC68"/>
    </row>
    <row r="69" spans="1:29">
      <c r="A69" s="445" t="s">
        <v>484</v>
      </c>
      <c r="B69" s="617">
        <f>'UAT6-Jun'!B71</f>
        <v>0</v>
      </c>
      <c r="C69" s="617">
        <f>'UAT6-Jun'!C71</f>
        <v>2.5</v>
      </c>
      <c r="D69" s="617">
        <f>'UAT6-Jun'!D71</f>
        <v>0</v>
      </c>
      <c r="E69" s="617">
        <f>'UAT6-Jun'!E71</f>
        <v>0</v>
      </c>
      <c r="F69" s="617">
        <f>'UAT6-Jun'!F71</f>
        <v>0</v>
      </c>
      <c r="G69" s="617">
        <f>'UAT6-Jun'!G71</f>
        <v>0</v>
      </c>
      <c r="H69" s="617">
        <f>'UAT6-Jun'!H71</f>
        <v>5</v>
      </c>
      <c r="I69" s="617">
        <f>'UAT6-Jun'!I71</f>
        <v>0.5</v>
      </c>
      <c r="J69" s="617">
        <f>'UAT6-Jun'!J71</f>
        <v>0</v>
      </c>
      <c r="K69" s="617">
        <f>'UAT6-Jun'!K71</f>
        <v>0</v>
      </c>
      <c r="L69" s="617">
        <f>'UAT6-Jun'!L71</f>
        <v>0</v>
      </c>
      <c r="M69" s="617">
        <f>'UAT6-Jun'!M71</f>
        <v>0</v>
      </c>
      <c r="N69" s="617">
        <f>'UAT6-Jun'!N71</f>
        <v>1.5</v>
      </c>
      <c r="O69" s="619">
        <f>'UAT6-Jun'!O71</f>
        <v>0</v>
      </c>
      <c r="P69" s="618">
        <f>SUM(B69:O69)</f>
        <v>9.5</v>
      </c>
      <c r="Q69" s="379"/>
      <c r="R69" s="379"/>
      <c r="S69" s="379"/>
      <c r="T69" s="379"/>
      <c r="U69" s="379"/>
      <c r="V69"/>
      <c r="W69"/>
      <c r="X69"/>
      <c r="Y69"/>
      <c r="Z69"/>
      <c r="AA69"/>
      <c r="AB69"/>
      <c r="AC69"/>
    </row>
    <row r="70" spans="1:29">
      <c r="A70" s="445" t="s">
        <v>587</v>
      </c>
      <c r="B70" s="332">
        <f>B105+B106+'UAT6-Jun'!B72-'UAT1-Jan'!B96</f>
        <v>48000000</v>
      </c>
      <c r="C70" s="332">
        <f>C105+C106+'UAT6-Jun'!C72-'UAT1-Jan'!C96</f>
        <v>44050000</v>
      </c>
      <c r="D70" s="332">
        <v>0</v>
      </c>
      <c r="E70" s="332">
        <f>E105+E106+'UAT6-Jun'!E72-'UAT1-Jan'!E96</f>
        <v>58733333</v>
      </c>
      <c r="F70" s="332">
        <f>F105+F106+'UAT6-Jun'!F72-'UAT1-Jan'!F96</f>
        <v>89800000</v>
      </c>
      <c r="G70" s="332">
        <f>G105+G106+'UAT6-Jun'!G72-'UAT1-Jan'!G96</f>
        <v>0</v>
      </c>
      <c r="H70" s="332">
        <f>H105+H106+'UAT6-Jun'!H72-'UAT1-Jan'!H96</f>
        <v>720515250</v>
      </c>
      <c r="I70" s="332">
        <f>I105+I106+'UAT6-Jun'!I72-'UAT1-Jan'!I96</f>
        <v>532206675</v>
      </c>
      <c r="J70" s="332">
        <f>J105+J106+'UAT6-Jun'!J72-'UAT1-Jan'!J96</f>
        <v>403000000</v>
      </c>
      <c r="K70" s="332">
        <f>K105+K106+'UAT6-Jun'!K72-'UAT1-Jan'!K96</f>
        <v>68330000</v>
      </c>
      <c r="L70" s="332">
        <f>L105+L106+'UAT6-Jun'!L72-'UAT1-Jan'!L96</f>
        <v>383000000</v>
      </c>
      <c r="M70" s="332">
        <f>M105+M106+'UAT6-Jun'!M72-'UAT1-Jan'!M96</f>
        <v>50800000</v>
      </c>
      <c r="N70" s="332">
        <f>N105+N106+'UAT6-Jun'!N72-'UAT1-Jan'!N96</f>
        <v>57700000</v>
      </c>
      <c r="O70" s="400">
        <f>O105+O106+'UAT6-Jun'!O72-'UAT1-Jan'!O96</f>
        <v>18000000</v>
      </c>
      <c r="P70" s="346">
        <f>SUM(B70:O70)</f>
        <v>2474135258</v>
      </c>
      <c r="Q70" s="341"/>
      <c r="R70" s="341"/>
      <c r="S70" s="341"/>
      <c r="T70" s="341"/>
      <c r="U70" s="341"/>
      <c r="V70"/>
      <c r="W70"/>
      <c r="X70"/>
      <c r="Y70"/>
      <c r="Z70"/>
      <c r="AA70"/>
      <c r="AB70"/>
      <c r="AC70"/>
    </row>
    <row r="71" spans="1:29">
      <c r="A71" s="445" t="s">
        <v>1207</v>
      </c>
      <c r="B71" s="7">
        <v>8</v>
      </c>
      <c r="C71" s="7"/>
      <c r="D71" s="7"/>
      <c r="E71" s="7">
        <v>15</v>
      </c>
      <c r="F71" s="7"/>
      <c r="G71" s="7"/>
      <c r="H71" s="7"/>
      <c r="I71" s="7"/>
      <c r="J71" s="7">
        <v>8</v>
      </c>
      <c r="K71" s="7"/>
      <c r="L71" s="7"/>
      <c r="M71" s="7">
        <v>60</v>
      </c>
      <c r="N71" s="7">
        <v>10</v>
      </c>
      <c r="O71" s="12"/>
      <c r="P71" s="478">
        <f>SUM(B71:O71)</f>
        <v>101</v>
      </c>
      <c r="Q71" s="341"/>
      <c r="R71" s="341"/>
      <c r="S71" s="341"/>
      <c r="T71" s="341"/>
      <c r="U71" s="341"/>
      <c r="V71"/>
      <c r="W71"/>
      <c r="X71"/>
      <c r="Y71"/>
      <c r="Z71"/>
      <c r="AA71"/>
      <c r="AB71"/>
      <c r="AC71"/>
    </row>
    <row r="72" spans="1:29">
      <c r="A72" s="412"/>
      <c r="B72" s="331"/>
      <c r="C72" s="332"/>
      <c r="D72" s="332"/>
      <c r="E72" s="340"/>
      <c r="F72" s="332"/>
      <c r="G72" s="332"/>
      <c r="H72" s="332"/>
      <c r="I72" s="332"/>
      <c r="J72" s="332"/>
      <c r="K72" s="340"/>
      <c r="L72" s="340"/>
      <c r="M72" s="340"/>
      <c r="N72" s="340"/>
      <c r="O72" s="401"/>
      <c r="P72" s="346"/>
      <c r="Q72" s="341"/>
      <c r="R72" s="341"/>
      <c r="S72" s="341"/>
      <c r="T72" s="341"/>
      <c r="U72" s="341"/>
    </row>
    <row r="73" spans="1:29" ht="15.6">
      <c r="A73" s="411" t="s">
        <v>889</v>
      </c>
      <c r="B73" s="480"/>
      <c r="C73" s="480"/>
      <c r="D73" s="480"/>
      <c r="E73" s="480"/>
      <c r="F73" s="480"/>
      <c r="G73" s="480"/>
      <c r="H73" s="480"/>
      <c r="I73" s="480"/>
      <c r="J73" s="590"/>
      <c r="K73" s="480"/>
      <c r="L73" s="480"/>
      <c r="M73" s="480"/>
      <c r="N73" s="480"/>
      <c r="O73" s="588"/>
      <c r="P73" s="346"/>
      <c r="Q73" s="481"/>
      <c r="R73" s="481"/>
      <c r="S73" s="379"/>
      <c r="T73" s="379"/>
      <c r="U73" s="379"/>
    </row>
    <row r="74" spans="1:29">
      <c r="A74" s="474" t="s">
        <v>885</v>
      </c>
      <c r="B74" s="340">
        <f>B88*B119</f>
        <v>3230800</v>
      </c>
      <c r="C74" s="340">
        <f>C88*C119</f>
        <v>2289216</v>
      </c>
      <c r="D74" s="340"/>
      <c r="E74" s="340">
        <f t="shared" ref="E74:O74" si="22">E88*E119</f>
        <v>5076960</v>
      </c>
      <c r="F74" s="340">
        <f t="shared" si="22"/>
        <v>5907712</v>
      </c>
      <c r="G74" s="340">
        <f t="shared" si="22"/>
        <v>0</v>
      </c>
      <c r="H74" s="340">
        <f t="shared" si="22"/>
        <v>55959788</v>
      </c>
      <c r="I74" s="340">
        <f t="shared" si="22"/>
        <v>0</v>
      </c>
      <c r="J74" s="340">
        <f t="shared" si="22"/>
        <v>13961552</v>
      </c>
      <c r="K74" s="340">
        <f t="shared" si="22"/>
        <v>4615360</v>
      </c>
      <c r="L74" s="340">
        <f t="shared" si="22"/>
        <v>5307680</v>
      </c>
      <c r="M74" s="340">
        <f t="shared" si="22"/>
        <v>3230800</v>
      </c>
      <c r="N74" s="340">
        <f t="shared" si="22"/>
        <v>3692320</v>
      </c>
      <c r="O74" s="401">
        <f t="shared" si="22"/>
        <v>1869210</v>
      </c>
      <c r="P74" s="346">
        <f t="shared" ref="P74:P78" si="23">SUM(B74:O74)-J74</f>
        <v>91179846</v>
      </c>
      <c r="Q74" s="341"/>
      <c r="R74" s="341"/>
      <c r="S74" s="341"/>
      <c r="T74" s="341"/>
      <c r="U74" s="341"/>
    </row>
    <row r="75" spans="1:29">
      <c r="A75" s="474" t="s">
        <v>886</v>
      </c>
      <c r="B75" s="340">
        <f>B88*B118</f>
        <v>6461600</v>
      </c>
      <c r="C75" s="340">
        <f>C88*C118</f>
        <v>4578432</v>
      </c>
      <c r="D75" s="340"/>
      <c r="E75" s="340">
        <f t="shared" ref="E75:O75" si="24">E88*E118</f>
        <v>10153920</v>
      </c>
      <c r="F75" s="340">
        <f t="shared" si="24"/>
        <v>11815424</v>
      </c>
      <c r="G75" s="340">
        <f t="shared" si="24"/>
        <v>0</v>
      </c>
      <c r="H75" s="340">
        <f t="shared" si="24"/>
        <v>112655889</v>
      </c>
      <c r="I75" s="340">
        <f t="shared" si="24"/>
        <v>0</v>
      </c>
      <c r="J75" s="340">
        <f t="shared" si="24"/>
        <v>28240412</v>
      </c>
      <c r="K75" s="340">
        <f t="shared" si="24"/>
        <v>9230720</v>
      </c>
      <c r="L75" s="340">
        <f t="shared" si="24"/>
        <v>10615360</v>
      </c>
      <c r="M75" s="340">
        <f t="shared" si="24"/>
        <v>6461600</v>
      </c>
      <c r="N75" s="340">
        <f t="shared" si="24"/>
        <v>7384640</v>
      </c>
      <c r="O75" s="401">
        <f t="shared" si="24"/>
        <v>3703805</v>
      </c>
      <c r="P75" s="346">
        <f t="shared" si="23"/>
        <v>183061390</v>
      </c>
      <c r="Q75" s="341"/>
      <c r="R75" s="341"/>
      <c r="S75" s="341"/>
      <c r="T75" s="341"/>
      <c r="U75" s="341"/>
    </row>
    <row r="76" spans="1:29">
      <c r="A76" s="474" t="s">
        <v>928</v>
      </c>
      <c r="B76" s="340" t="e">
        <f>IF(OR(B21="A",B21="B"),ROUND(B148/12,0),ROUND(B148*$B$4/12,0))+'UAT6-Jun'!B78</f>
        <v>#REF!</v>
      </c>
      <c r="C76" s="340" t="e">
        <f>IF(OR(C21="A",C21="B"),ROUND(C148/12,0),ROUND(C148*$B$4/12,0))+'UAT6-Jun'!C78</f>
        <v>#REF!</v>
      </c>
      <c r="D76" s="340"/>
      <c r="E76" s="340" t="e">
        <f>IF(OR(E21="A",E21="B"),ROUND(E148/12,0),ROUND(E148*$B$4/12,0))+'UAT6-Jun'!E78</f>
        <v>#REF!</v>
      </c>
      <c r="F76" s="340" t="e">
        <f>IF(OR(F21="A",F21="B"),ROUND(F148/12,0),ROUND(F148*$B$4/12,0))+'UAT6-Jun'!F78</f>
        <v>#REF!</v>
      </c>
      <c r="G76" s="340" t="e">
        <f>IF(OR(G21="A",G21="B"),ROUND(G148/12,0),ROUND(G148*$B$4/12,0))+'UAT6-Jun'!G78</f>
        <v>#REF!</v>
      </c>
      <c r="H76" s="340" t="e">
        <f>IF(OR(H21="A",H21="B"),ROUND(H148/12,0),ROUND(H148*$B$4/12,0))+'UAT6-Jun'!H78</f>
        <v>#REF!</v>
      </c>
      <c r="I76" s="340" t="e">
        <f>IF(OR(I21="A",I21="B"),ROUND(I148/12,0),ROUND(I148*$B$4/12,0))+'UAT6-Jun'!I78</f>
        <v>#REF!</v>
      </c>
      <c r="J76" s="340" t="e">
        <f>IF(OR(J21="A",J21="B"),ROUND(J148/12,0),ROUND(J148*$B$4/12,0))+'UAT6-Jun'!J78</f>
        <v>#REF!</v>
      </c>
      <c r="K76" s="340" t="e">
        <f>IF(OR(K21="A",K21="B"),ROUND(K148/12,0),ROUND(K148*$B$4/12,0))+'UAT6-Jun'!K78</f>
        <v>#REF!</v>
      </c>
      <c r="L76" s="340" t="e">
        <f>IF(OR(L21="A",L21="B"),ROUND(L148/12,0),ROUND(L148*$B$4/12,0))+'UAT6-Jun'!L78</f>
        <v>#REF!</v>
      </c>
      <c r="M76" s="340" t="e">
        <f>IF(OR(M21="A",M21="B"),ROUND(M148/12,0),ROUND(M148*$B$4/12,0))+'UAT6-Jun'!M78</f>
        <v>#REF!</v>
      </c>
      <c r="N76" s="340" t="e">
        <f>IF(OR(N21="A",N21="B"),ROUND(N148/12,0),ROUND(N148*$B$4/12,0))+'UAT6-Jun'!N78</f>
        <v>#REF!</v>
      </c>
      <c r="O76" s="401" t="e">
        <f>IF(OR(O21="A",O21="B"),ROUND(O148/12,0),ROUND(O148*$B$4/12,0))+'UAT6-Jun'!O78</f>
        <v>#REF!</v>
      </c>
      <c r="P76" s="346" t="e">
        <f t="shared" si="23"/>
        <v>#REF!</v>
      </c>
      <c r="Q76" s="341"/>
      <c r="R76" s="341"/>
      <c r="S76" s="341"/>
      <c r="T76" s="341"/>
      <c r="U76" s="341"/>
    </row>
    <row r="77" spans="1:29">
      <c r="A77" s="474" t="s">
        <v>887</v>
      </c>
      <c r="B77" s="340"/>
      <c r="C77" s="340">
        <f>ROUND((C131+C140+C141)/12*AB37*C15/261,0)</f>
        <v>3460</v>
      </c>
      <c r="D77" s="340"/>
      <c r="E77" s="340"/>
      <c r="F77" s="340"/>
      <c r="G77" s="340"/>
      <c r="H77" s="340">
        <f>ROUND((H131*B4+H140+H141)/12*AB38*H15/261,0)</f>
        <v>524854</v>
      </c>
      <c r="I77" s="340"/>
      <c r="J77" s="453"/>
      <c r="K77" s="340"/>
      <c r="L77" s="340"/>
      <c r="M77" s="340"/>
      <c r="N77" s="340"/>
      <c r="O77" s="401"/>
      <c r="P77" s="346">
        <f t="shared" si="23"/>
        <v>528314</v>
      </c>
      <c r="Q77" s="481"/>
      <c r="R77" s="481"/>
      <c r="S77" s="379"/>
      <c r="T77" s="379"/>
      <c r="U77" s="379"/>
    </row>
    <row r="78" spans="1:29">
      <c r="A78" s="474" t="s">
        <v>888</v>
      </c>
      <c r="B78" s="340">
        <f t="shared" ref="B78:O78" si="25">IF(OR(B21="A",B21="B"),ROUND(B69*B131*50%,0),ROUND(B69*B131*$B$4*50%,0))</f>
        <v>0</v>
      </c>
      <c r="C78" s="340">
        <f t="shared" si="25"/>
        <v>7750000</v>
      </c>
      <c r="D78" s="340">
        <f t="shared" si="25"/>
        <v>0</v>
      </c>
      <c r="E78" s="340">
        <f t="shared" si="25"/>
        <v>0</v>
      </c>
      <c r="F78" s="340">
        <f t="shared" si="25"/>
        <v>0</v>
      </c>
      <c r="G78" s="340">
        <f t="shared" si="25"/>
        <v>0</v>
      </c>
      <c r="H78" s="340">
        <f t="shared" si="25"/>
        <v>319068750</v>
      </c>
      <c r="I78" s="340">
        <f t="shared" si="25"/>
        <v>24365250</v>
      </c>
      <c r="J78" s="340">
        <f t="shared" si="25"/>
        <v>0</v>
      </c>
      <c r="K78" s="340">
        <f t="shared" si="25"/>
        <v>0</v>
      </c>
      <c r="L78" s="340">
        <f t="shared" si="25"/>
        <v>0</v>
      </c>
      <c r="M78" s="340">
        <f t="shared" si="25"/>
        <v>0</v>
      </c>
      <c r="N78" s="340">
        <f t="shared" si="25"/>
        <v>6000000</v>
      </c>
      <c r="O78" s="401">
        <f t="shared" si="25"/>
        <v>0</v>
      </c>
      <c r="P78" s="346">
        <f t="shared" si="23"/>
        <v>357184000</v>
      </c>
      <c r="Q78" s="341"/>
      <c r="R78" s="341"/>
      <c r="S78" s="341"/>
      <c r="T78" s="341"/>
      <c r="U78" s="341"/>
    </row>
    <row r="79" spans="1:29">
      <c r="A79" s="474"/>
      <c r="B79" s="480"/>
      <c r="C79" s="480"/>
      <c r="D79" s="480"/>
      <c r="E79" s="480"/>
      <c r="F79" s="480"/>
      <c r="G79" s="480"/>
      <c r="H79" s="480"/>
      <c r="I79" s="480"/>
      <c r="J79" s="590"/>
      <c r="K79" s="480"/>
      <c r="L79" s="480"/>
      <c r="M79" s="480"/>
      <c r="N79" s="480"/>
      <c r="O79" s="588"/>
      <c r="P79" s="346"/>
      <c r="Q79" s="341"/>
      <c r="R79" s="341"/>
      <c r="S79" s="341"/>
      <c r="T79" s="341"/>
      <c r="U79" s="341"/>
    </row>
    <row r="80" spans="1:29" ht="15.6">
      <c r="A80" s="411" t="s">
        <v>704</v>
      </c>
      <c r="B80" s="331"/>
      <c r="C80" s="332"/>
      <c r="D80" s="332"/>
      <c r="E80" s="340"/>
      <c r="F80" s="332"/>
      <c r="G80" s="332"/>
      <c r="H80" s="332"/>
      <c r="I80" s="332"/>
      <c r="J80" s="332"/>
      <c r="K80" s="340"/>
      <c r="L80" s="340"/>
      <c r="M80" s="340"/>
      <c r="N80" s="340"/>
      <c r="O80" s="401"/>
      <c r="P80" s="346"/>
      <c r="Q80" s="341"/>
      <c r="R80" s="341"/>
      <c r="S80" s="341"/>
      <c r="T80" s="341"/>
      <c r="U80" s="341"/>
    </row>
    <row r="81" spans="1:21">
      <c r="A81" s="501" t="s">
        <v>1160</v>
      </c>
      <c r="B81" s="502">
        <f>ROUND('UAT6-Jun'!B99*AD48*100%,0)</f>
        <v>80770</v>
      </c>
      <c r="C81" s="502"/>
      <c r="D81" s="502"/>
      <c r="E81" s="502">
        <f>ROUND('UAT6-Jun'!E98*AD49*100%,0)+ROUND('UAT6-Jun'!E99*AD50*100%,0)</f>
        <v>450001</v>
      </c>
      <c r="F81" s="502"/>
      <c r="G81" s="502"/>
      <c r="H81" s="502"/>
      <c r="I81" s="502"/>
      <c r="J81" s="502"/>
      <c r="K81" s="502"/>
      <c r="L81" s="502"/>
      <c r="M81" s="502">
        <f>ROUND('UAT6-Jun'!M98*AD51*100%,0)+ROUND('UAT6-Jun'!M99*AD52*100%,0)+ROUND('UAT6-Jun'!M99*AD53*100%,0)+ROUND('UAT6-Jun'!M99*AD54*100%,0)+ROUND('UAT6-Jun'!M99*AE54*100%,0)+ROUND('UAT6-Jun'!M99*AD55*100%,0)+ROUND('UAT6-Jun'!M99*AD56*100%,0)+ROUND('UAT6-Jun'!M99*AD57*100%,0)</f>
        <v>1096161</v>
      </c>
      <c r="N81" s="502">
        <f>ROUND('UAT6-Jun'!N98*AE58*100%,0)+ROUND(N88*AD59*100%,0)</f>
        <v>259616</v>
      </c>
      <c r="O81" s="503"/>
      <c r="P81" s="504">
        <f t="shared" ref="P81:P85" si="26">SUM(B81:O81)</f>
        <v>1886548</v>
      </c>
      <c r="Q81" s="519" t="s">
        <v>597</v>
      </c>
      <c r="R81" s="519" t="s">
        <v>597</v>
      </c>
      <c r="S81" s="520"/>
      <c r="T81" s="521"/>
      <c r="U81" s="521"/>
    </row>
    <row r="82" spans="1:21">
      <c r="A82" s="505" t="s">
        <v>745</v>
      </c>
      <c r="B82" s="502">
        <f>ROUND('UAT6-Jun'!B99*AD48*50%,0)</f>
        <v>40385</v>
      </c>
      <c r="C82" s="502"/>
      <c r="D82" s="502"/>
      <c r="E82" s="502">
        <f>ROUND('UAT6-Jun'!E99*AD50*50%,0)</f>
        <v>95193</v>
      </c>
      <c r="F82" s="502"/>
      <c r="G82" s="502"/>
      <c r="H82" s="502"/>
      <c r="I82" s="502"/>
      <c r="J82" s="502"/>
      <c r="K82" s="502"/>
      <c r="L82" s="502"/>
      <c r="M82" s="502">
        <f>ROUND('UAT6-Jun'!M99*AD52*50%,0)+ROUND('UAT6-Jun'!M99*AD53*50%,0)+ROUND('UAT6-Jun'!M99*AD54*50%,0)+ROUND('UAT6-Jun'!M99*AD55*50%,0)+ROUND('UAT6-Jun'!M99*AD56*50%,0)+ROUND('UAT6-Jun'!M99*AD57*50%,0)</f>
        <v>363466</v>
      </c>
      <c r="N82" s="502">
        <f>ROUND(N88*AD59*50%,0)</f>
        <v>92308</v>
      </c>
      <c r="O82" s="503"/>
      <c r="P82" s="504">
        <f t="shared" si="26"/>
        <v>591352</v>
      </c>
      <c r="Q82" s="519" t="s">
        <v>597</v>
      </c>
      <c r="R82" s="519"/>
      <c r="S82" s="520"/>
      <c r="T82" s="521"/>
      <c r="U82" s="521"/>
    </row>
    <row r="83" spans="1:21">
      <c r="A83" s="506" t="s">
        <v>746</v>
      </c>
      <c r="B83" s="502"/>
      <c r="C83" s="502"/>
      <c r="D83" s="502"/>
      <c r="E83" s="502"/>
      <c r="F83" s="502"/>
      <c r="G83" s="502"/>
      <c r="H83" s="502"/>
      <c r="I83" s="502"/>
      <c r="J83" s="502"/>
      <c r="K83" s="502"/>
      <c r="L83" s="502"/>
      <c r="M83" s="502">
        <f>ROUND('UAT6-Jun'!M99*AE54*95%,0)</f>
        <v>76732</v>
      </c>
      <c r="N83" s="502"/>
      <c r="O83" s="503"/>
      <c r="P83" s="504">
        <f t="shared" si="26"/>
        <v>76732</v>
      </c>
      <c r="Q83" s="519" t="s">
        <v>597</v>
      </c>
      <c r="R83" s="519"/>
      <c r="S83" s="522"/>
      <c r="T83" s="522"/>
      <c r="U83" s="522"/>
    </row>
    <row r="84" spans="1:21">
      <c r="A84" s="527" t="s">
        <v>747</v>
      </c>
      <c r="B84" s="502"/>
      <c r="C84" s="502"/>
      <c r="D84" s="502"/>
      <c r="E84" s="502">
        <f>ROUND('UAT6-Jun'!E98*AD49*100%,0)</f>
        <v>259615</v>
      </c>
      <c r="F84" s="502"/>
      <c r="G84" s="502"/>
      <c r="H84" s="502"/>
      <c r="I84" s="502"/>
      <c r="J84" s="502"/>
      <c r="K84" s="502"/>
      <c r="L84" s="502"/>
      <c r="M84" s="502">
        <f>ROUND('UAT6-Jun'!M98*AD51*100%,0)</f>
        <v>288460</v>
      </c>
      <c r="N84" s="502"/>
      <c r="O84" s="503"/>
      <c r="P84" s="504">
        <f t="shared" si="26"/>
        <v>548075</v>
      </c>
      <c r="Q84" s="519" t="s">
        <v>597</v>
      </c>
      <c r="R84" s="519"/>
      <c r="S84" s="522"/>
      <c r="T84" s="522"/>
      <c r="U84" s="522"/>
    </row>
    <row r="85" spans="1:21">
      <c r="A85" s="505" t="s">
        <v>711</v>
      </c>
      <c r="B85" s="502"/>
      <c r="C85" s="502"/>
      <c r="D85" s="502"/>
      <c r="E85" s="502"/>
      <c r="F85" s="502"/>
      <c r="G85" s="502"/>
      <c r="H85" s="502"/>
      <c r="I85" s="502"/>
      <c r="J85" s="502"/>
      <c r="K85" s="502"/>
      <c r="L85" s="502"/>
      <c r="M85" s="502"/>
      <c r="N85" s="502">
        <f>ROUND('UAT6-Jun'!N98*AE58*160%,0)</f>
        <v>120000</v>
      </c>
      <c r="O85" s="503"/>
      <c r="P85" s="504">
        <f t="shared" si="26"/>
        <v>120000</v>
      </c>
      <c r="Q85" s="519" t="s">
        <v>597</v>
      </c>
      <c r="R85" s="519"/>
      <c r="S85" s="521"/>
      <c r="T85" s="521"/>
      <c r="U85" s="521"/>
    </row>
    <row r="86" spans="1:21">
      <c r="A86" s="412"/>
      <c r="B86" s="331"/>
      <c r="C86" s="332"/>
      <c r="D86" s="332"/>
      <c r="E86" s="340"/>
      <c r="F86" s="332"/>
      <c r="G86" s="332"/>
      <c r="H86" s="332"/>
      <c r="I86" s="332"/>
      <c r="J86" s="332"/>
      <c r="K86" s="340"/>
      <c r="L86" s="340"/>
      <c r="M86" s="340"/>
      <c r="N86" s="340"/>
      <c r="O86" s="401"/>
      <c r="P86" s="346"/>
      <c r="Q86" s="341"/>
      <c r="R86" s="482"/>
      <c r="S86" s="341"/>
      <c r="T86" s="341"/>
      <c r="U86" s="341"/>
    </row>
    <row r="87" spans="1:21" ht="15.6">
      <c r="A87" s="411" t="s">
        <v>485</v>
      </c>
      <c r="B87" s="331"/>
      <c r="C87" s="332"/>
      <c r="D87" s="332"/>
      <c r="E87" s="340"/>
      <c r="F87" s="332"/>
      <c r="G87" s="332"/>
      <c r="H87" s="332"/>
      <c r="I87" s="332"/>
      <c r="J87" s="332"/>
      <c r="K87" s="340"/>
      <c r="L87" s="340"/>
      <c r="M87" s="340"/>
      <c r="N87" s="340"/>
      <c r="O87" s="401"/>
      <c r="P87" s="346"/>
      <c r="Q87" s="341"/>
      <c r="R87" s="482"/>
      <c r="S87" s="341"/>
      <c r="T87" s="341"/>
      <c r="U87" s="341"/>
    </row>
    <row r="88" spans="1:21">
      <c r="A88" s="445" t="s">
        <v>490</v>
      </c>
      <c r="B88" s="332">
        <f>IF(OR(B21="A",B21="B"),IF(B12&lt;&gt;"C",ROUND(B131*12/52/40,0),B131),IF(B12&lt;&gt;"C",ROUND(B131*$B$4*12/52/40,0),B131*$B$4))</f>
        <v>40385</v>
      </c>
      <c r="C88" s="332">
        <f>IF(OR(C21="A",C21="B"),IF(C12&lt;&gt;"C",ROUND(C131*12/52/40,0),C131),IF(C12&lt;&gt;"C",ROUND(C131*$B$4*12/52/40,0),C131*$B$4))</f>
        <v>35769</v>
      </c>
      <c r="D88" s="332">
        <f>IF(OR(D21="A",D21="B"),IF(D12&lt;&gt;"C",ROUND(D131*12/52/40,0),D131),IF(D12&lt;&gt;"C",ROUND(D131*$B$4*12/52/40,0),D131*$B$4))</f>
        <v>0</v>
      </c>
      <c r="E88" s="332">
        <f>IF(OR(E21="A",E21="B"),IF(E12&lt;&gt;"C",ROUND(E131*12/52/40,0),E131),IF(E12&lt;&gt;"C",ROUND(E131*$B$4*12/52/40,0),E131*$B$4))</f>
        <v>63462</v>
      </c>
      <c r="F88" s="332">
        <f>IF(OR(F21="A",F21="B"),IF(F12&lt;&gt;"C",ROUND(F131*12/52/40,0),F131),IF(F12&lt;&gt;"C",ROUND(F131*$B$4*12/52/40,0),F131*$B$4))</f>
        <v>92308</v>
      </c>
      <c r="G88" s="332">
        <f>IF(OR(G21="A",G21="B"),IF(G12&lt;&gt;"C",ROUND(G133*12/52/40,0),G133),IF(G12&lt;&gt;"C",ROUND(G133*$B$4*12/52/40,0),G133*$B$4))</f>
        <v>5801250</v>
      </c>
      <c r="H88" s="332">
        <f t="shared" ref="H88:O88" si="27">IF(OR(H21="A",H21="B"),IF(H12&lt;&gt;"C",ROUND(H131*12/52/40,0),H131),IF(H12&lt;&gt;"C",ROUND(H131*$B$4*12/52/40,0),H131*$B$4))</f>
        <v>736313</v>
      </c>
      <c r="I88" s="332">
        <f t="shared" si="27"/>
        <v>562275</v>
      </c>
      <c r="J88" s="332">
        <f t="shared" si="27"/>
        <v>317308</v>
      </c>
      <c r="K88" s="332">
        <f t="shared" si="27"/>
        <v>57692</v>
      </c>
      <c r="L88" s="332">
        <f t="shared" si="27"/>
        <v>66346</v>
      </c>
      <c r="M88" s="332">
        <f t="shared" si="27"/>
        <v>40385</v>
      </c>
      <c r="N88" s="332">
        <f t="shared" si="27"/>
        <v>46154</v>
      </c>
      <c r="O88" s="332">
        <f t="shared" si="27"/>
        <v>34615</v>
      </c>
      <c r="P88" s="346">
        <f t="shared" ref="P88:P98" si="28">SUM(B88:O88)</f>
        <v>7894262</v>
      </c>
      <c r="Q88" s="347"/>
      <c r="R88" s="482"/>
      <c r="S88" s="341"/>
      <c r="T88" s="341"/>
      <c r="U88" s="341"/>
    </row>
    <row r="89" spans="1:21">
      <c r="A89" s="445" t="s">
        <v>501</v>
      </c>
      <c r="B89" s="332">
        <f>IF(OR(B21="A",B21="B"),ROUND(SUM(B131,B134,B136,B139)*12/52/5*B14%,0),ROUND(SUM(B131,B134,B136,B139)*12/52/5*$B$4*B14%,0))</f>
        <v>420000</v>
      </c>
      <c r="C89" s="332">
        <f>IF(OR(C21="A",C21="B"),ROUND(SUM(C131,C134,C136,C139)*12/52/5*C14%,0),ROUND(SUM(C131,C134,C136,C139)*12/52/5*$B$4*C14%,0))</f>
        <v>186000</v>
      </c>
      <c r="D89" s="332">
        <f>IF(OR(D21="A",D21="B"),ROUND(SUM(D131,D134,D136,D139)*12/52/5*D14%,0),ROUND(SUM(D131,D134,D136,D139)*12/52/5*$B$4*D14%,0))</f>
        <v>0</v>
      </c>
      <c r="E89" s="332">
        <f>IF(OR(E21="A",E21="B"),ROUND(SUM(E131,E134,E136,E139)*12/52/5*E14%,0),ROUND(SUM(E131,E134,E136,E139)*12/52/5*$B$4*E14%,0))</f>
        <v>507692</v>
      </c>
      <c r="F89" s="332">
        <f>IF(OR(F21="A",F21="B"),ROUND(SUM(F131,F134,F136,F139)*12/52/5*F14%,0),ROUND(SUM(F131,F134,F136,F139)*12/52/5*$B$4*F14%,0))</f>
        <v>738462</v>
      </c>
      <c r="G89" s="332">
        <f>IF(OR(G21="A",G21="B"),ROUND(SUM(G133,G134,G136,G139)*12/52/5*G14%,0),ROUND(SUM(G133,G134,G136,G139)*12/52/5*$B$4*G14%,0))</f>
        <v>267750</v>
      </c>
      <c r="H89" s="332">
        <f t="shared" ref="H89:O89" si="29">IF(OR(H21="A",H21="B"),ROUND(SUM(H131,H134,H136,H139)*12/52/5*H14%,0),ROUND(SUM(H131,H134,H136,H139)*12/52/5*$B$4*H14%,0))</f>
        <v>3828825</v>
      </c>
      <c r="I89" s="332">
        <f t="shared" si="29"/>
        <v>4498200</v>
      </c>
      <c r="J89" s="332">
        <f t="shared" si="29"/>
        <v>1650000</v>
      </c>
      <c r="K89" s="332">
        <f t="shared" si="29"/>
        <v>600000</v>
      </c>
      <c r="L89" s="332">
        <f t="shared" si="29"/>
        <v>530769</v>
      </c>
      <c r="M89" s="332">
        <f t="shared" si="29"/>
        <v>484615</v>
      </c>
      <c r="N89" s="332">
        <f t="shared" si="29"/>
        <v>500769</v>
      </c>
      <c r="O89" s="332">
        <f t="shared" si="29"/>
        <v>276923</v>
      </c>
      <c r="P89" s="346">
        <f t="shared" si="28"/>
        <v>14490005</v>
      </c>
      <c r="Q89" s="347"/>
      <c r="R89" s="341"/>
      <c r="S89" s="341"/>
      <c r="T89" s="341"/>
      <c r="U89" s="341"/>
    </row>
    <row r="90" spans="1:21">
      <c r="A90" s="445" t="s">
        <v>502</v>
      </c>
      <c r="B90" s="332">
        <f>IF(OR(B21="A",B21="B"),ROUND(B131/B17,0),ROUND(B131*$B$4/B17,0))</f>
        <v>304348</v>
      </c>
      <c r="C90" s="332">
        <f>IF(OR(C21="A",C21="B"),ROUND(C131/C17,0),ROUND(C131*$B$4/C17,0))</f>
        <v>269565</v>
      </c>
      <c r="D90" s="332"/>
      <c r="E90" s="332">
        <f>IF(OR(E21="A",E21="B"),ROUND(E131/E17,0),ROUND(E131*$B$4/E17,0))</f>
        <v>478261</v>
      </c>
      <c r="F90" s="332">
        <f>IF(OR(F21="A",F21="B"),ROUND(F131/F17,0),ROUND(F131*$B$4/F17,0))</f>
        <v>695652</v>
      </c>
      <c r="G90" s="332">
        <f>IF(OR(G21="A",G21="B"),ROUND(G133/G17,0),ROUND(G133*$B$4/G17,0))</f>
        <v>252228</v>
      </c>
      <c r="H90" s="332">
        <f t="shared" ref="H90:O90" si="30">IF(OR(H21="A",H21="B"),ROUND(H131/H17,0),ROUND(H131*$B$4/H17,0))</f>
        <v>5549022</v>
      </c>
      <c r="I90" s="332">
        <f t="shared" si="30"/>
        <v>4237435</v>
      </c>
      <c r="J90" s="332">
        <f t="shared" si="30"/>
        <v>2391304</v>
      </c>
      <c r="K90" s="332">
        <f t="shared" si="30"/>
        <v>434783</v>
      </c>
      <c r="L90" s="332">
        <f t="shared" si="30"/>
        <v>500000</v>
      </c>
      <c r="M90" s="332">
        <f t="shared" si="30"/>
        <v>304348</v>
      </c>
      <c r="N90" s="332">
        <f t="shared" si="30"/>
        <v>347826</v>
      </c>
      <c r="O90" s="332">
        <f t="shared" si="30"/>
        <v>260870</v>
      </c>
      <c r="P90" s="346">
        <f t="shared" si="28"/>
        <v>16025642</v>
      </c>
      <c r="Q90" s="347"/>
      <c r="R90" s="347"/>
      <c r="S90" s="347"/>
      <c r="T90" s="347"/>
      <c r="U90" s="347"/>
    </row>
    <row r="91" spans="1:21">
      <c r="A91" s="445" t="s">
        <v>628</v>
      </c>
      <c r="B91" s="332">
        <f>IF(OR(B21="A",B21="B"),ROUND(SUM(B134,B136,B138,B140:B142)/B17,0),ROUND(SUM(B134,B136,B138,B140:B142)*$B$4/B17,0))</f>
        <v>91304</v>
      </c>
      <c r="C91" s="332">
        <f>IF(OR(C21="A",C21="B"),ROUND(SUM(C134,C136,C138,C140:C142)/C17,0),ROUND(SUM(C134,C136,C138,C140:C142)*$B$4/C17,0))</f>
        <v>80870</v>
      </c>
      <c r="D91" s="332"/>
      <c r="E91" s="332">
        <f t="shared" ref="E91:O91" si="31">IF(OR(E21="A",E21="B"),ROUND(SUM(E134,E136,E138,E140:E142)/E17,0),ROUND(SUM(E134,E136,E138,E140:E142)*$B$4/E17,0))</f>
        <v>0</v>
      </c>
      <c r="F91" s="332">
        <f t="shared" si="31"/>
        <v>0</v>
      </c>
      <c r="G91" s="332">
        <f t="shared" si="31"/>
        <v>0</v>
      </c>
      <c r="H91" s="332">
        <f t="shared" si="31"/>
        <v>1664707</v>
      </c>
      <c r="I91" s="332">
        <f t="shared" si="31"/>
        <v>0</v>
      </c>
      <c r="J91" s="332">
        <f t="shared" si="31"/>
        <v>717391</v>
      </c>
      <c r="K91" s="332">
        <f t="shared" si="31"/>
        <v>130435</v>
      </c>
      <c r="L91" s="332">
        <f t="shared" si="31"/>
        <v>0</v>
      </c>
      <c r="M91" s="332">
        <f t="shared" si="31"/>
        <v>152174</v>
      </c>
      <c r="N91" s="332">
        <f t="shared" si="31"/>
        <v>123913</v>
      </c>
      <c r="O91" s="332">
        <f t="shared" si="31"/>
        <v>0</v>
      </c>
      <c r="P91" s="346">
        <f t="shared" si="28"/>
        <v>2960794</v>
      </c>
      <c r="Q91" s="347"/>
      <c r="R91" s="347"/>
      <c r="S91" s="347"/>
      <c r="T91" s="347"/>
      <c r="U91" s="347"/>
    </row>
    <row r="92" spans="1:21">
      <c r="A92" s="445" t="s">
        <v>503</v>
      </c>
      <c r="B92" s="7">
        <f>B15/B17*100%</f>
        <v>1</v>
      </c>
      <c r="C92" s="7">
        <f>C15/C17*100%</f>
        <v>1</v>
      </c>
      <c r="D92" s="7"/>
      <c r="E92" s="7">
        <f t="shared" ref="E92:O92" si="32">E15/E17*100%</f>
        <v>1</v>
      </c>
      <c r="F92" s="7">
        <f t="shared" si="32"/>
        <v>1</v>
      </c>
      <c r="G92" s="7">
        <f t="shared" si="32"/>
        <v>1</v>
      </c>
      <c r="H92" s="7">
        <f t="shared" si="32"/>
        <v>1</v>
      </c>
      <c r="I92" s="7">
        <f t="shared" si="32"/>
        <v>1</v>
      </c>
      <c r="J92" s="7">
        <f t="shared" si="32"/>
        <v>1</v>
      </c>
      <c r="K92" s="7">
        <f t="shared" si="32"/>
        <v>1</v>
      </c>
      <c r="L92" s="7">
        <f t="shared" si="32"/>
        <v>1</v>
      </c>
      <c r="M92" s="7">
        <f t="shared" si="32"/>
        <v>1</v>
      </c>
      <c r="N92" s="7">
        <f t="shared" si="32"/>
        <v>1</v>
      </c>
      <c r="O92" s="12">
        <f t="shared" si="32"/>
        <v>1</v>
      </c>
      <c r="P92" s="478">
        <f t="shared" si="28"/>
        <v>13</v>
      </c>
      <c r="Q92" s="347"/>
      <c r="R92" s="347"/>
      <c r="S92" s="347"/>
      <c r="T92" s="347"/>
      <c r="U92" s="347"/>
    </row>
    <row r="93" spans="1:21">
      <c r="A93" s="463" t="s">
        <v>756</v>
      </c>
      <c r="B93" s="444">
        <f>B16/B17*100%</f>
        <v>0</v>
      </c>
      <c r="C93" s="444">
        <f>C16/C17*100%</f>
        <v>0</v>
      </c>
      <c r="D93" s="444"/>
      <c r="E93" s="444">
        <f t="shared" ref="E93:M93" si="33">E16/E17*100%</f>
        <v>0</v>
      </c>
      <c r="F93" s="444">
        <f t="shared" si="33"/>
        <v>0</v>
      </c>
      <c r="G93" s="444">
        <f t="shared" si="33"/>
        <v>0</v>
      </c>
      <c r="H93" s="444">
        <f t="shared" si="33"/>
        <v>0</v>
      </c>
      <c r="I93" s="444">
        <f t="shared" si="33"/>
        <v>0</v>
      </c>
      <c r="J93" s="444">
        <f t="shared" si="33"/>
        <v>0</v>
      </c>
      <c r="K93" s="444">
        <f t="shared" si="33"/>
        <v>0</v>
      </c>
      <c r="L93" s="444">
        <f t="shared" si="33"/>
        <v>0</v>
      </c>
      <c r="M93" s="444">
        <f t="shared" si="33"/>
        <v>0</v>
      </c>
      <c r="N93" s="444">
        <f>N16/'UAT6-Jun'!N18*100%</f>
        <v>0.2</v>
      </c>
      <c r="O93" s="539">
        <f>O16/O17*100%</f>
        <v>0</v>
      </c>
      <c r="P93" s="509">
        <f t="shared" si="28"/>
        <v>0.2</v>
      </c>
      <c r="Q93" s="347"/>
      <c r="R93" s="347"/>
      <c r="S93" s="347"/>
      <c r="T93" s="347"/>
      <c r="U93" s="347"/>
    </row>
    <row r="94" spans="1:21">
      <c r="A94" s="445" t="s">
        <v>504</v>
      </c>
      <c r="B94" s="7">
        <f t="shared" ref="B94:O94" si="34">(B15-B143)/261*100%</f>
        <v>8.8122605363984668E-2</v>
      </c>
      <c r="C94" s="7">
        <f t="shared" si="34"/>
        <v>8.8122605363984668E-2</v>
      </c>
      <c r="D94" s="7">
        <f t="shared" si="34"/>
        <v>0</v>
      </c>
      <c r="E94" s="7">
        <f t="shared" si="34"/>
        <v>8.8122605363984668E-2</v>
      </c>
      <c r="F94" s="7">
        <f t="shared" si="34"/>
        <v>8.8122605363984668E-2</v>
      </c>
      <c r="G94" s="7">
        <f t="shared" si="34"/>
        <v>8.8122605363984668E-2</v>
      </c>
      <c r="H94" s="7">
        <f t="shared" si="34"/>
        <v>8.8122605363984668E-2</v>
      </c>
      <c r="I94" s="7">
        <f t="shared" si="34"/>
        <v>8.8122605363984668E-2</v>
      </c>
      <c r="J94" s="7">
        <f t="shared" si="34"/>
        <v>8.8122605363984668E-2</v>
      </c>
      <c r="K94" s="7">
        <f t="shared" si="34"/>
        <v>8.8122605363984668E-2</v>
      </c>
      <c r="L94" s="7">
        <f t="shared" si="34"/>
        <v>8.8122605363984668E-2</v>
      </c>
      <c r="M94" s="7">
        <f t="shared" si="34"/>
        <v>8.8122605363984668E-2</v>
      </c>
      <c r="N94" s="7">
        <f t="shared" si="34"/>
        <v>8.8122605363984668E-2</v>
      </c>
      <c r="O94" s="12">
        <f t="shared" si="34"/>
        <v>8.8122605363984668E-2</v>
      </c>
      <c r="P94" s="478">
        <f t="shared" si="28"/>
        <v>1.1455938697318007</v>
      </c>
      <c r="Q94" s="347"/>
      <c r="R94" s="347"/>
      <c r="S94" s="347"/>
      <c r="T94" s="347"/>
      <c r="U94" s="347"/>
    </row>
    <row r="95" spans="1:21">
      <c r="A95" s="463" t="s">
        <v>757</v>
      </c>
      <c r="B95" s="444">
        <f t="shared" ref="B95:O95" si="35">(B16-B143)/261*100%</f>
        <v>0</v>
      </c>
      <c r="C95" s="444">
        <f t="shared" si="35"/>
        <v>0</v>
      </c>
      <c r="D95" s="444">
        <f t="shared" si="35"/>
        <v>0</v>
      </c>
      <c r="E95" s="444">
        <f t="shared" si="35"/>
        <v>0</v>
      </c>
      <c r="F95" s="444">
        <f t="shared" si="35"/>
        <v>0</v>
      </c>
      <c r="G95" s="444">
        <f t="shared" si="35"/>
        <v>0</v>
      </c>
      <c r="H95" s="444">
        <f t="shared" si="35"/>
        <v>0</v>
      </c>
      <c r="I95" s="444">
        <f t="shared" si="35"/>
        <v>0</v>
      </c>
      <c r="J95" s="444">
        <f t="shared" si="35"/>
        <v>0</v>
      </c>
      <c r="K95" s="444">
        <f t="shared" si="35"/>
        <v>0</v>
      </c>
      <c r="L95" s="444">
        <f t="shared" si="35"/>
        <v>0</v>
      </c>
      <c r="M95" s="444">
        <f t="shared" si="35"/>
        <v>0</v>
      </c>
      <c r="N95" s="444">
        <f t="shared" si="35"/>
        <v>1.532567049808429E-2</v>
      </c>
      <c r="O95" s="539">
        <f t="shared" si="35"/>
        <v>0</v>
      </c>
      <c r="P95" s="509">
        <f t="shared" si="28"/>
        <v>1.532567049808429E-2</v>
      </c>
      <c r="Q95" s="347"/>
      <c r="R95" s="347"/>
      <c r="S95" s="347"/>
      <c r="T95" s="347"/>
      <c r="U95" s="347"/>
    </row>
    <row r="96" spans="1:21">
      <c r="A96" s="445" t="s">
        <v>505</v>
      </c>
      <c r="B96" s="7">
        <f>B145/B17*100%</f>
        <v>0</v>
      </c>
      <c r="C96" s="7">
        <f>C145/C17*100%</f>
        <v>0</v>
      </c>
      <c r="D96" s="7"/>
      <c r="E96" s="7">
        <f t="shared" ref="E96:O96" si="36">E145/E17*100%</f>
        <v>0</v>
      </c>
      <c r="F96" s="7">
        <f t="shared" si="36"/>
        <v>0</v>
      </c>
      <c r="G96" s="7">
        <f t="shared" si="36"/>
        <v>0</v>
      </c>
      <c r="H96" s="7">
        <f t="shared" si="36"/>
        <v>0</v>
      </c>
      <c r="I96" s="7">
        <f t="shared" si="36"/>
        <v>0</v>
      </c>
      <c r="J96" s="7">
        <f t="shared" si="36"/>
        <v>0</v>
      </c>
      <c r="K96" s="7">
        <f t="shared" si="36"/>
        <v>0</v>
      </c>
      <c r="L96" s="7">
        <f t="shared" si="36"/>
        <v>0</v>
      </c>
      <c r="M96" s="7">
        <f t="shared" si="36"/>
        <v>0</v>
      </c>
      <c r="N96" s="7">
        <f t="shared" si="36"/>
        <v>0</v>
      </c>
      <c r="O96" s="12">
        <f t="shared" si="36"/>
        <v>0</v>
      </c>
      <c r="P96" s="478">
        <f t="shared" si="28"/>
        <v>0</v>
      </c>
      <c r="Q96" s="348"/>
      <c r="R96" s="347"/>
      <c r="S96" s="347"/>
      <c r="T96" s="347"/>
      <c r="U96" s="347"/>
    </row>
    <row r="97" spans="1:21">
      <c r="A97" s="451" t="s">
        <v>494</v>
      </c>
      <c r="B97" s="332">
        <f>ROUND(AA23*B18/365,0)</f>
        <v>679452</v>
      </c>
      <c r="C97" s="332">
        <f>ROUND(AA24*C18/365,0)</f>
        <v>679452</v>
      </c>
      <c r="E97" s="332">
        <f>ROUND(AA25*E18/365,0)</f>
        <v>679452</v>
      </c>
      <c r="F97" s="332">
        <f>ROUND(AA26*F18/365,0)</f>
        <v>679452</v>
      </c>
      <c r="G97" s="332"/>
      <c r="H97" s="332">
        <f>ROUND(AA27*G18/365,0)</f>
        <v>679452</v>
      </c>
      <c r="I97" s="332"/>
      <c r="J97" s="332"/>
      <c r="K97" s="340"/>
      <c r="L97" s="340"/>
      <c r="M97" s="340"/>
      <c r="N97" s="340"/>
      <c r="O97" s="401"/>
      <c r="P97" s="346">
        <f t="shared" si="28"/>
        <v>3397260</v>
      </c>
      <c r="Q97" s="347"/>
      <c r="R97" s="347"/>
      <c r="S97" s="347"/>
      <c r="T97" s="347"/>
      <c r="U97" s="347"/>
    </row>
    <row r="98" spans="1:21">
      <c r="A98" s="445" t="s">
        <v>536</v>
      </c>
      <c r="B98" s="332">
        <f>ROUND(AA28*B18/365,0)</f>
        <v>594521</v>
      </c>
      <c r="C98" s="332">
        <f>ROUND(AA29*C18/365,0)</f>
        <v>594521</v>
      </c>
      <c r="E98" s="332">
        <f>ROUND(AA30*E18/365,0)</f>
        <v>594521</v>
      </c>
      <c r="F98" s="332">
        <f>ROUND(AA31*F18/365,0)</f>
        <v>594521</v>
      </c>
      <c r="G98" s="332"/>
      <c r="H98" s="332">
        <f>ROUND(AA32*G18/365,0)</f>
        <v>594521</v>
      </c>
      <c r="I98" s="332"/>
      <c r="J98" s="332"/>
      <c r="K98" s="332"/>
      <c r="L98" s="332"/>
      <c r="M98" s="332"/>
      <c r="N98" s="332"/>
      <c r="O98" s="400"/>
      <c r="P98" s="346">
        <f t="shared" si="28"/>
        <v>2972605</v>
      </c>
      <c r="Q98" s="347"/>
      <c r="R98" s="347"/>
      <c r="S98" s="347"/>
      <c r="T98" s="347"/>
      <c r="U98" s="347"/>
    </row>
    <row r="99" spans="1:21">
      <c r="A99" s="412" t="s">
        <v>613</v>
      </c>
      <c r="B99" s="402"/>
      <c r="C99" s="80"/>
      <c r="D99" s="332"/>
      <c r="E99" s="332"/>
      <c r="F99" s="332"/>
      <c r="G99" s="332"/>
      <c r="H99" s="332">
        <f>AA33*B4</f>
        <v>2320500</v>
      </c>
      <c r="I99" s="332">
        <f>AA34*B4</f>
        <v>2320500</v>
      </c>
      <c r="J99" s="332"/>
      <c r="K99" s="340"/>
      <c r="L99" s="340"/>
      <c r="M99" s="340"/>
      <c r="N99" s="340"/>
      <c r="O99" s="401"/>
      <c r="P99" s="355">
        <f>SUM(D99:O99)</f>
        <v>4641000</v>
      </c>
      <c r="Q99" s="379"/>
      <c r="R99" s="379"/>
      <c r="S99" s="379"/>
      <c r="T99" s="379"/>
      <c r="U99" s="379"/>
    </row>
    <row r="100" spans="1:21">
      <c r="A100" s="412" t="s">
        <v>614</v>
      </c>
      <c r="B100" s="402"/>
      <c r="C100" s="80"/>
      <c r="D100" s="332"/>
      <c r="E100" s="332"/>
      <c r="F100" s="332"/>
      <c r="G100" s="332"/>
      <c r="H100" s="332">
        <f>AA35*B4</f>
        <v>4641000</v>
      </c>
      <c r="I100" s="332">
        <f>AA36*B4</f>
        <v>4641000</v>
      </c>
      <c r="J100" s="332"/>
      <c r="K100" s="340"/>
      <c r="L100" s="340"/>
      <c r="M100" s="340"/>
      <c r="N100" s="340"/>
      <c r="O100" s="401"/>
      <c r="P100" s="355">
        <f>SUM(D100:O100)</f>
        <v>9282000</v>
      </c>
      <c r="Q100" s="379"/>
      <c r="R100" s="379"/>
      <c r="S100" s="379"/>
      <c r="T100" s="379"/>
      <c r="U100" s="379"/>
    </row>
    <row r="101" spans="1:21">
      <c r="A101" s="412"/>
      <c r="B101" s="331"/>
      <c r="C101" s="332"/>
      <c r="D101" s="332"/>
      <c r="E101" s="340"/>
      <c r="F101" s="332"/>
      <c r="G101" s="332"/>
      <c r="H101" s="332"/>
      <c r="I101" s="332"/>
      <c r="J101" s="332"/>
      <c r="K101" s="340"/>
      <c r="L101" s="340"/>
      <c r="M101" s="340"/>
      <c r="N101" s="340"/>
      <c r="O101" s="401"/>
      <c r="P101" s="346"/>
      <c r="Q101" s="347"/>
      <c r="R101" s="348"/>
      <c r="S101" s="348"/>
      <c r="T101" s="348"/>
      <c r="U101" s="348"/>
    </row>
    <row r="102" spans="1:21">
      <c r="A102" s="412" t="s">
        <v>579</v>
      </c>
      <c r="B102" s="331">
        <f t="shared" ref="B102:O102" si="37">SUM(B27:B39)</f>
        <v>9221155</v>
      </c>
      <c r="C102" s="332">
        <f t="shared" si="37"/>
        <v>8060000</v>
      </c>
      <c r="D102" s="332">
        <f t="shared" si="37"/>
        <v>6000000</v>
      </c>
      <c r="E102" s="332">
        <f t="shared" si="37"/>
        <v>11804809</v>
      </c>
      <c r="F102" s="332">
        <f t="shared" si="37"/>
        <v>16000000</v>
      </c>
      <c r="G102" s="332">
        <f t="shared" si="37"/>
        <v>29006250</v>
      </c>
      <c r="H102" s="332">
        <f t="shared" si="37"/>
        <v>158954250</v>
      </c>
      <c r="I102" s="332">
        <f t="shared" si="37"/>
        <v>90499500</v>
      </c>
      <c r="J102" s="332">
        <f t="shared" si="37"/>
        <v>71500000</v>
      </c>
      <c r="K102" s="332">
        <f t="shared" si="37"/>
        <v>13000000</v>
      </c>
      <c r="L102" s="332">
        <f t="shared" si="37"/>
        <v>11500000</v>
      </c>
      <c r="M102" s="332">
        <f t="shared" si="37"/>
        <v>12324819</v>
      </c>
      <c r="N102" s="332">
        <f t="shared" si="37"/>
        <v>11691924</v>
      </c>
      <c r="O102" s="400">
        <f t="shared" si="37"/>
        <v>6000000</v>
      </c>
      <c r="P102" s="346">
        <f t="shared" ref="P102:P115" si="38">SUM(B102:O102)</f>
        <v>455562707</v>
      </c>
      <c r="Q102" s="347"/>
      <c r="R102" s="347"/>
      <c r="S102" s="347"/>
      <c r="T102" s="347"/>
      <c r="U102" s="347"/>
    </row>
    <row r="103" spans="1:21">
      <c r="A103" s="445" t="s">
        <v>580</v>
      </c>
      <c r="B103" s="332">
        <f t="shared" ref="B103:O103" si="39">SUM(B27:B34,B41,B42,B81)</f>
        <v>10061492</v>
      </c>
      <c r="C103" s="332">
        <f t="shared" si="39"/>
        <v>9141992</v>
      </c>
      <c r="D103" s="332">
        <f t="shared" si="39"/>
        <v>6000000</v>
      </c>
      <c r="E103" s="332">
        <f t="shared" si="39"/>
        <v>12431358</v>
      </c>
      <c r="F103" s="332">
        <f t="shared" si="39"/>
        <v>16679452</v>
      </c>
      <c r="G103" s="332">
        <f t="shared" si="39"/>
        <v>29006250</v>
      </c>
      <c r="H103" s="332">
        <f t="shared" si="39"/>
        <v>169016306</v>
      </c>
      <c r="I103" s="332">
        <f t="shared" si="39"/>
        <v>90499500</v>
      </c>
      <c r="J103" s="332">
        <f t="shared" si="39"/>
        <v>71500000</v>
      </c>
      <c r="K103" s="332">
        <f t="shared" si="39"/>
        <v>13000000</v>
      </c>
      <c r="L103" s="332">
        <f t="shared" si="39"/>
        <v>11500000</v>
      </c>
      <c r="M103" s="332">
        <f t="shared" si="39"/>
        <v>11596161</v>
      </c>
      <c r="N103" s="332">
        <f t="shared" si="39"/>
        <v>11479616</v>
      </c>
      <c r="O103" s="332">
        <f t="shared" si="39"/>
        <v>6000000</v>
      </c>
      <c r="P103" s="346">
        <f t="shared" si="38"/>
        <v>467912127</v>
      </c>
      <c r="Q103" s="347"/>
      <c r="R103" s="347"/>
      <c r="S103" s="347"/>
      <c r="T103" s="347"/>
      <c r="U103" s="347"/>
    </row>
    <row r="104" spans="1:21">
      <c r="A104" s="445" t="s">
        <v>581</v>
      </c>
      <c r="B104" s="332">
        <f t="shared" ref="B104:O104" si="40">IF(B15&gt;B17/2,IF(OR(B21="A",B21="B"),SUM(B131,B134,B136,B139),B149),0)</f>
        <v>9100000</v>
      </c>
      <c r="C104" s="332">
        <f t="shared" si="40"/>
        <v>8060000</v>
      </c>
      <c r="D104" s="332">
        <f t="shared" si="40"/>
        <v>0</v>
      </c>
      <c r="E104" s="332">
        <f t="shared" si="40"/>
        <v>11000000</v>
      </c>
      <c r="F104" s="332">
        <f t="shared" si="40"/>
        <v>16000000</v>
      </c>
      <c r="G104" s="332">
        <f t="shared" si="40"/>
        <v>0</v>
      </c>
      <c r="H104" s="332">
        <f t="shared" si="40"/>
        <v>160975000</v>
      </c>
      <c r="I104" s="332">
        <f t="shared" si="40"/>
        <v>91650000</v>
      </c>
      <c r="J104" s="332">
        <f t="shared" si="40"/>
        <v>71500000</v>
      </c>
      <c r="K104" s="332">
        <f t="shared" si="40"/>
        <v>13000000</v>
      </c>
      <c r="L104" s="332">
        <f t="shared" si="40"/>
        <v>11500000</v>
      </c>
      <c r="M104" s="332">
        <f t="shared" si="40"/>
        <v>10500000</v>
      </c>
      <c r="N104" s="332">
        <f t="shared" si="40"/>
        <v>10850000</v>
      </c>
      <c r="O104" s="400">
        <f t="shared" si="40"/>
        <v>6000000</v>
      </c>
      <c r="P104" s="346">
        <f t="shared" si="38"/>
        <v>420135000</v>
      </c>
      <c r="Q104" s="347"/>
      <c r="R104" s="347"/>
      <c r="S104" s="347"/>
      <c r="T104" s="347"/>
      <c r="U104" s="347"/>
    </row>
    <row r="105" spans="1:21">
      <c r="A105" s="412" t="s">
        <v>586</v>
      </c>
      <c r="B105" s="332">
        <f>IF(OR(B21="A",B21="B"),SUM(B148,B134,B136,B140,B141,B139),SUM(B148,B139)*$B$4)</f>
        <v>9100000</v>
      </c>
      <c r="C105" s="332">
        <f>IF(OR(C21="A",C21="B"),SUM(C148,C134,C136,C140,C141,C139),SUM(C148,C139)*$B$4)</f>
        <v>8060000</v>
      </c>
      <c r="D105" s="332"/>
      <c r="E105" s="332">
        <f t="shared" ref="E105:O105" si="41">IF(OR(E21="A",E21="B"),SUM(E148,E134,E136,E140,E141,E139),SUM(E148,E139)*$B$4)</f>
        <v>11000000</v>
      </c>
      <c r="F105" s="332">
        <f t="shared" si="41"/>
        <v>16000000</v>
      </c>
      <c r="G105" s="332">
        <f t="shared" si="41"/>
        <v>0</v>
      </c>
      <c r="H105" s="332">
        <f t="shared" si="41"/>
        <v>120666000</v>
      </c>
      <c r="I105" s="332">
        <f t="shared" si="41"/>
        <v>90499500</v>
      </c>
      <c r="J105" s="332">
        <f t="shared" si="41"/>
        <v>71500000</v>
      </c>
      <c r="K105" s="332">
        <f t="shared" si="41"/>
        <v>13000000</v>
      </c>
      <c r="L105" s="332">
        <f t="shared" si="41"/>
        <v>11500000</v>
      </c>
      <c r="M105" s="332">
        <f t="shared" si="41"/>
        <v>10500000</v>
      </c>
      <c r="N105" s="332">
        <f t="shared" si="41"/>
        <v>10850000</v>
      </c>
      <c r="O105" s="400">
        <f t="shared" si="41"/>
        <v>6000000</v>
      </c>
      <c r="P105" s="346">
        <f t="shared" si="38"/>
        <v>378675500</v>
      </c>
      <c r="Q105" s="347"/>
      <c r="R105" s="347"/>
      <c r="S105" s="347"/>
      <c r="T105" s="347"/>
      <c r="U105" s="347"/>
    </row>
    <row r="106" spans="1:21">
      <c r="A106" s="506" t="s">
        <v>865</v>
      </c>
      <c r="B106" s="438"/>
      <c r="C106" s="438"/>
      <c r="D106" s="438"/>
      <c r="E106" s="438"/>
      <c r="F106" s="438"/>
      <c r="G106" s="438"/>
      <c r="H106" s="438"/>
      <c r="I106" s="438"/>
      <c r="J106" s="438"/>
      <c r="K106" s="438"/>
      <c r="L106" s="438"/>
      <c r="M106" s="438"/>
      <c r="N106" s="438">
        <f>N131+N134+N136-N132-N135-N137</f>
        <v>1850000</v>
      </c>
      <c r="O106" s="511"/>
      <c r="P106" s="504">
        <f t="shared" si="38"/>
        <v>1850000</v>
      </c>
      <c r="Q106" s="347"/>
      <c r="R106" s="347"/>
      <c r="S106" s="347"/>
      <c r="T106" s="347"/>
      <c r="U106" s="347"/>
    </row>
    <row r="107" spans="1:21">
      <c r="A107" s="412" t="s">
        <v>483</v>
      </c>
      <c r="B107" s="332">
        <f>ROUND(('UAT6-Jun'!B72+B106)/6,0)</f>
        <v>8200000</v>
      </c>
      <c r="C107" s="332">
        <f>ROUND(('UAT6-Jun'!C72+C106)/6,0)</f>
        <v>7728333</v>
      </c>
      <c r="D107" s="332"/>
      <c r="E107" s="332">
        <f>ROUND(('UAT6-Jun'!E72+E106)/6,0)</f>
        <v>9755556</v>
      </c>
      <c r="F107" s="332">
        <f>ROUND(('UAT6-Jun'!F72+F106)/6,0)</f>
        <v>14933333</v>
      </c>
      <c r="G107" s="332">
        <f>ROUND(('UAT6-Jun'!G72+G106)/6,0)</f>
        <v>0</v>
      </c>
      <c r="H107" s="332">
        <f>ROUND(('UAT6-Jun'!H72+H106)/6,0)</f>
        <v>125307000</v>
      </c>
      <c r="I107" s="332">
        <f>ROUND(('UAT6-Jun'!I72+I106)/6,0)</f>
        <v>89223225</v>
      </c>
      <c r="J107" s="332">
        <f>ROUND(('UAT6-Jun'!J72+J106)/6,0)</f>
        <v>66083333</v>
      </c>
      <c r="K107" s="332">
        <f>ROUND(('UAT6-Jun'!K72+K106)/6,0)</f>
        <v>11076667</v>
      </c>
      <c r="L107" s="332">
        <f>ROUND(('UAT6-Jun'!L72+L106)/6,0)</f>
        <v>76916667</v>
      </c>
      <c r="M107" s="332">
        <f>ROUND(('UAT6-Jun'!M72+M106)/6,0)</f>
        <v>7966667</v>
      </c>
      <c r="N107" s="332">
        <f>ROUND(('UAT6-Jun'!N72+N106)/6,0)</f>
        <v>9308333</v>
      </c>
      <c r="O107" s="332">
        <f>ROUND(('UAT6-Jun'!O72+O106)/6,0)</f>
        <v>2000000</v>
      </c>
      <c r="P107" s="346">
        <f t="shared" si="38"/>
        <v>428499114</v>
      </c>
      <c r="Q107" s="347"/>
      <c r="R107" s="347"/>
      <c r="S107" s="347"/>
      <c r="T107" s="347"/>
      <c r="U107" s="347"/>
    </row>
    <row r="108" spans="1:21">
      <c r="A108" s="445" t="s">
        <v>486</v>
      </c>
      <c r="B108" s="332">
        <f t="shared" ref="B108:O108" si="42">B103</f>
        <v>10061492</v>
      </c>
      <c r="C108" s="332">
        <f t="shared" si="42"/>
        <v>9141992</v>
      </c>
      <c r="D108" s="332">
        <f t="shared" si="42"/>
        <v>6000000</v>
      </c>
      <c r="E108" s="332">
        <f t="shared" si="42"/>
        <v>12431358</v>
      </c>
      <c r="F108" s="332">
        <f t="shared" si="42"/>
        <v>16679452</v>
      </c>
      <c r="G108" s="332">
        <f t="shared" si="42"/>
        <v>29006250</v>
      </c>
      <c r="H108" s="332">
        <f t="shared" si="42"/>
        <v>169016306</v>
      </c>
      <c r="I108" s="332">
        <f t="shared" si="42"/>
        <v>90499500</v>
      </c>
      <c r="J108" s="332">
        <f t="shared" si="42"/>
        <v>71500000</v>
      </c>
      <c r="K108" s="332">
        <f t="shared" si="42"/>
        <v>13000000</v>
      </c>
      <c r="L108" s="332">
        <f t="shared" si="42"/>
        <v>11500000</v>
      </c>
      <c r="M108" s="332">
        <f t="shared" si="42"/>
        <v>11596161</v>
      </c>
      <c r="N108" s="332">
        <f t="shared" si="42"/>
        <v>11479616</v>
      </c>
      <c r="O108" s="400">
        <f t="shared" si="42"/>
        <v>6000000</v>
      </c>
      <c r="P108" s="346">
        <f t="shared" si="38"/>
        <v>467912127</v>
      </c>
      <c r="Q108" s="347"/>
      <c r="R108" s="347"/>
      <c r="S108" s="347"/>
      <c r="T108" s="347"/>
      <c r="U108" s="347"/>
    </row>
    <row r="109" spans="1:21">
      <c r="A109" s="445" t="s">
        <v>607</v>
      </c>
      <c r="B109" s="332">
        <f t="shared" ref="B109:O109" si="43">SUM(B48:B50)</f>
        <v>955500</v>
      </c>
      <c r="C109" s="332">
        <f t="shared" si="43"/>
        <v>846300</v>
      </c>
      <c r="D109" s="332">
        <f t="shared" si="43"/>
        <v>0</v>
      </c>
      <c r="E109" s="332">
        <f t="shared" si="43"/>
        <v>1155000</v>
      </c>
      <c r="F109" s="332">
        <f t="shared" si="43"/>
        <v>0</v>
      </c>
      <c r="G109" s="332">
        <f t="shared" si="43"/>
        <v>0</v>
      </c>
      <c r="H109" s="332">
        <f t="shared" si="43"/>
        <v>447000</v>
      </c>
      <c r="I109" s="332">
        <f t="shared" si="43"/>
        <v>447000</v>
      </c>
      <c r="J109" s="332">
        <f t="shared" si="43"/>
        <v>3546000</v>
      </c>
      <c r="K109" s="332">
        <f t="shared" si="43"/>
        <v>0</v>
      </c>
      <c r="L109" s="332">
        <f t="shared" si="43"/>
        <v>1207500</v>
      </c>
      <c r="M109" s="332">
        <f t="shared" si="43"/>
        <v>0</v>
      </c>
      <c r="N109" s="332">
        <f t="shared" si="43"/>
        <v>0</v>
      </c>
      <c r="O109" s="400">
        <f t="shared" si="43"/>
        <v>0</v>
      </c>
      <c r="P109" s="346">
        <f t="shared" si="38"/>
        <v>8604300</v>
      </c>
      <c r="Q109" s="347"/>
      <c r="R109" s="347"/>
      <c r="S109" s="347"/>
      <c r="T109" s="347"/>
      <c r="U109" s="347"/>
    </row>
    <row r="110" spans="1:21">
      <c r="A110" s="445" t="s">
        <v>902</v>
      </c>
      <c r="B110" s="332">
        <f t="shared" ref="B110:O110" si="44">IF(OR(B21="A",B21="C"),B108-B109,B108)</f>
        <v>9105992</v>
      </c>
      <c r="C110" s="332">
        <f t="shared" si="44"/>
        <v>8295692</v>
      </c>
      <c r="D110" s="332">
        <f t="shared" si="44"/>
        <v>6000000</v>
      </c>
      <c r="E110" s="332">
        <f t="shared" si="44"/>
        <v>12431358</v>
      </c>
      <c r="F110" s="332">
        <f t="shared" si="44"/>
        <v>16679452</v>
      </c>
      <c r="G110" s="332">
        <f t="shared" si="44"/>
        <v>29006250</v>
      </c>
      <c r="H110" s="332">
        <f t="shared" si="44"/>
        <v>169016306</v>
      </c>
      <c r="I110" s="332">
        <f t="shared" si="44"/>
        <v>90499500</v>
      </c>
      <c r="J110" s="332">
        <f t="shared" si="44"/>
        <v>67954000</v>
      </c>
      <c r="K110" s="332">
        <f t="shared" si="44"/>
        <v>13000000</v>
      </c>
      <c r="L110" s="332">
        <f t="shared" si="44"/>
        <v>10292500</v>
      </c>
      <c r="M110" s="332">
        <f t="shared" si="44"/>
        <v>11596161</v>
      </c>
      <c r="N110" s="332">
        <f t="shared" si="44"/>
        <v>11479616</v>
      </c>
      <c r="O110" s="400">
        <f t="shared" si="44"/>
        <v>6000000</v>
      </c>
      <c r="P110" s="346">
        <f t="shared" si="38"/>
        <v>461356827</v>
      </c>
      <c r="Q110" s="347"/>
      <c r="R110" s="347"/>
      <c r="S110" s="347"/>
      <c r="T110" s="347"/>
      <c r="U110" s="347"/>
    </row>
    <row r="111" spans="1:21">
      <c r="A111" s="445" t="s">
        <v>903</v>
      </c>
      <c r="B111" s="332">
        <f t="shared" ref="B111:O111" si="45">IF(OR(B21="A",B21="C"),MAX(B110-B24-B23*B22,0),B110)</f>
        <v>0</v>
      </c>
      <c r="C111" s="332">
        <f t="shared" si="45"/>
        <v>0</v>
      </c>
      <c r="D111" s="332">
        <f t="shared" si="45"/>
        <v>0</v>
      </c>
      <c r="E111" s="332">
        <f t="shared" si="45"/>
        <v>12431358</v>
      </c>
      <c r="F111" s="332">
        <f t="shared" si="45"/>
        <v>16679452</v>
      </c>
      <c r="G111" s="332">
        <f t="shared" si="45"/>
        <v>20006250</v>
      </c>
      <c r="H111" s="332">
        <f t="shared" si="45"/>
        <v>169016306</v>
      </c>
      <c r="I111" s="332">
        <f t="shared" si="45"/>
        <v>90499500</v>
      </c>
      <c r="J111" s="332">
        <f t="shared" si="45"/>
        <v>58954000</v>
      </c>
      <c r="K111" s="332">
        <f t="shared" si="45"/>
        <v>4000000</v>
      </c>
      <c r="L111" s="332">
        <f t="shared" si="45"/>
        <v>1292500</v>
      </c>
      <c r="M111" s="332">
        <f t="shared" si="45"/>
        <v>2596161</v>
      </c>
      <c r="N111" s="332">
        <f t="shared" si="45"/>
        <v>2479616</v>
      </c>
      <c r="O111" s="400">
        <f t="shared" si="45"/>
        <v>6000000</v>
      </c>
      <c r="P111" s="346">
        <f t="shared" si="38"/>
        <v>383955143</v>
      </c>
      <c r="Q111" s="347"/>
      <c r="R111" s="347"/>
      <c r="S111" s="347"/>
      <c r="T111" s="347"/>
      <c r="U111" s="347"/>
    </row>
    <row r="112" spans="1:21">
      <c r="A112" s="445" t="s">
        <v>906</v>
      </c>
      <c r="B112" s="332">
        <f>IF(OR(B21="A",B21="C"),ROUND(MAX(B111*{5;10;15;20;25;30;35}%-{0;0.25;0.75;1.65;3.25;5.85;9.85}*1000000,0),0),IF(B21="B",IF(B111&lt;2000000,0,ROUND(B111*10%,0)),ROUND(B111*20%,0)))</f>
        <v>0</v>
      </c>
      <c r="C112" s="332">
        <f>IF(OR(C21="A",C21="C"),ROUND(MAX(C111*{5;10;15;20;25;30;35}%-{0;0.25;0.75;1.65;3.25;5.85;9.85}*1000000,0),0),IF(C21="B",IF(C111&lt;2000000,0,ROUND(C111*10%,0)),ROUND(C111*20%,0)))</f>
        <v>0</v>
      </c>
      <c r="D112" s="332">
        <f>IF(OR(D21="A",D21="C"),ROUND(MAX(D111*{5;10;15;20;25;30;35}%-{0;0.25;0.75;1.65;3.25;5.85;9.85}*1000000,0),0),IF(D21="B",IF(D111&lt;2000000,0,ROUND(D111*10%,0)),ROUND(D111*20%,0)))</f>
        <v>0</v>
      </c>
      <c r="E112" s="332">
        <f>IF(OR(E21="A",E21="C"),ROUND(MAX(E111*{5;10;15;20;25;30;35}%-{0;0.25;0.75;1.65;3.25;5.85;9.85}*1000000,0),0),IF(E21="B",IF(E111&lt;2000000,0,ROUND(E111*10%,0)),ROUND(E111*20%,0)))</f>
        <v>1243136</v>
      </c>
      <c r="F112" s="332">
        <f>IF(OR(F21="A",F21="C"),ROUND(MAX(F111*{5;10;15;20;25;30;35}%-{0;0.25;0.75;1.65;3.25;5.85;9.85}*1000000,0),0),IF(F21="B",IF(F111&lt;2000000,0,ROUND(F111*10%,0)),ROUND(F111*20%,0)))</f>
        <v>1667945</v>
      </c>
      <c r="G112" s="332">
        <f>IF(OR(G21="A",G21="C"),ROUND(MAX(G111*{5;10;15;20;25;30;35}%-{0;0.25;0.75;1.65;3.25;5.85;9.85}*1000000,0),0),IF(G21="B",IF(G111&lt;2000000,0,ROUND(G111*10%,0)),ROUND(G111*20%,0)))</f>
        <v>2351250</v>
      </c>
      <c r="H112" s="332">
        <f>IF(OR(H21="A",H21="C"),ROUND(MAX(H111*{5;10;15;20;25;30;35}%-{0;0.25;0.75;1.65;3.25;5.85;9.85}*1000000,0),0),IF(H21="B",IF(H111&lt;2000000,0,ROUND(H111*10%,0)),ROUND(H111*20%,0)))</f>
        <v>33803261</v>
      </c>
      <c r="I112" s="332">
        <f>IF(OR(I21="A",I21="C"),ROUND(MAX(I111*{5;10;15;20;25;30;35}%-{0;0.25;0.75;1.65;3.25;5.85;9.85}*1000000,0),0),IF(I21="B",IF(I111&lt;2000000,0,ROUND(I111*10%,0)),ROUND(I111*20%,0)))</f>
        <v>18099900</v>
      </c>
      <c r="J112" s="332">
        <f>IF(OR(J21="A",J21="C"),ROUND(MAX(J111*{5;10;15;20;25;30;35}%-{0;0.25;0.75;1.65;3.25;5.85;9.85}*1000000,0),0),IF(J21="B",IF(J111&lt;2000000,0,ROUND(J111*10%,0)),ROUND(J111*20%,0)))</f>
        <v>11836200</v>
      </c>
      <c r="K112" s="332">
        <f>IF(OR(K21="A",K21="C"),ROUND(MAX(K111*{5;10;15;20;25;30;35}%-{0;0.25;0.75;1.65;3.25;5.85;9.85}*1000000,0),0),IF(K21="B",IF(K111&lt;2000000,0,ROUND(K111*10%,0)),ROUND(K111*20%,0)))</f>
        <v>200000</v>
      </c>
      <c r="L112" s="332">
        <f>IF(OR(L21="A",L21="C"),ROUND(MAX(L111*{5;10;15;20;25;30;35}%-{0;0.25;0.75;1.65;3.25;5.85;9.85}*1000000,0),0),IF(L21="B",IF(L111&lt;2000000,0,ROUND(L111*10%,0)),ROUND(L111*20%,0)))</f>
        <v>64625</v>
      </c>
      <c r="M112" s="332">
        <f>IF(OR(M21="A",M21="C"),ROUND(MAX(M111*{5;10;15;20;25;30;35}%-{0;0.25;0.75;1.65;3.25;5.85;9.85}*1000000,0),0),IF(M21="B",IF(M111&lt;2000000,0,ROUND(M111*10%,0)),ROUND(M111*20%,0)))</f>
        <v>129808</v>
      </c>
      <c r="N112" s="332">
        <f>IF(OR(N21="A",N21="C"),ROUND(MAX(N111*{5;10;15;20;25;30;35}%-{0;0.25;0.75;1.65;3.25;5.85;9.85}*1000000,0),0),IF(N21="B",IF(N111&lt;2000000,0,ROUND(N111*10%,0)),ROUND(N111*20%,0)))</f>
        <v>123981</v>
      </c>
      <c r="O112" s="400">
        <f>IF(OR(O21="A",O21="C"),ROUND(MAX(O111*{5;10;15;20;25;30;35}%-{0;0.25;0.75;1.65;3.25;5.85;9.85}*1000000,0),0),IF(O21="B",IF(O111&lt;2000000,0,ROUND(O111*10%,0)),ROUND(O111*20%,0)))</f>
        <v>600000</v>
      </c>
      <c r="P112" s="346">
        <f t="shared" si="38"/>
        <v>70120106</v>
      </c>
      <c r="Q112" s="380"/>
      <c r="R112" s="347"/>
      <c r="S112" s="347"/>
      <c r="T112" s="347"/>
      <c r="U112" s="347"/>
    </row>
    <row r="113" spans="1:31">
      <c r="A113" s="445" t="s">
        <v>922</v>
      </c>
      <c r="B113" s="332">
        <f>B108+'UAT6-Jun'!B126</f>
        <v>80110046</v>
      </c>
      <c r="C113" s="332">
        <f>C108+'UAT6-Jun'!C126</f>
        <v>75882969</v>
      </c>
      <c r="D113" s="332">
        <f>D108+'UAT6-Jun'!D126</f>
        <v>67015899</v>
      </c>
      <c r="E113" s="332">
        <f>E108+'UAT6-Jun'!E126</f>
        <v>157466962</v>
      </c>
      <c r="F113" s="332">
        <f>F108+'UAT6-Jun'!F126</f>
        <v>122955924</v>
      </c>
      <c r="G113" s="332">
        <f>G108+'UAT6-Jun'!G126</f>
        <v>342273750</v>
      </c>
      <c r="H113" s="332">
        <f>H108+'UAT6-Jun'!H126</f>
        <v>1151509042</v>
      </c>
      <c r="I113" s="332">
        <f>I108+'UAT6-Jun'!I126</f>
        <v>730025565.86210001</v>
      </c>
      <c r="J113" s="332">
        <f>J108+'UAT6-Jun'!J126</f>
        <v>407225262</v>
      </c>
      <c r="K113" s="332">
        <f>K108+'UAT6-Jun'!K126</f>
        <v>78000000</v>
      </c>
      <c r="L113" s="332">
        <f>L108+'UAT6-Jun'!L126</f>
        <v>462189000</v>
      </c>
      <c r="M113" s="332">
        <f>M108+'UAT6-Jun'!M126</f>
        <v>60219236</v>
      </c>
      <c r="N113" s="332">
        <f>N108+'UAT6-Jun'!N126</f>
        <v>65571491</v>
      </c>
      <c r="O113" s="400">
        <f>O108+'UAT6-Jun'!O126</f>
        <v>32000000</v>
      </c>
      <c r="P113" s="346">
        <f t="shared" si="38"/>
        <v>3832445146.8621001</v>
      </c>
      <c r="Q113" s="347"/>
      <c r="R113" s="347"/>
      <c r="S113" s="347"/>
      <c r="T113" s="347"/>
      <c r="U113" s="347"/>
      <c r="V113" s="160"/>
      <c r="W113" s="160"/>
      <c r="X113" s="160"/>
      <c r="Y113" s="160"/>
      <c r="Z113" s="160"/>
      <c r="AA113" s="160"/>
      <c r="AB113" s="160"/>
      <c r="AC113" s="160"/>
    </row>
    <row r="114" spans="1:31">
      <c r="A114" s="445" t="s">
        <v>488</v>
      </c>
      <c r="B114" s="332">
        <f>B112+'UAT6-Jun'!B127</f>
        <v>359065</v>
      </c>
      <c r="C114" s="332">
        <f>C112+'UAT6-Jun'!C127</f>
        <v>0</v>
      </c>
      <c r="D114" s="332">
        <f>D112+'UAT6-Jun'!D127</f>
        <v>161125</v>
      </c>
      <c r="E114" s="332">
        <f>E112+'UAT6-Jun'!E127</f>
        <v>15841197</v>
      </c>
      <c r="F114" s="332">
        <f>F112+'UAT6-Jun'!F127</f>
        <v>12295591</v>
      </c>
      <c r="G114" s="332">
        <f>G112+'UAT6-Jun'!G127</f>
        <v>64700125</v>
      </c>
      <c r="H114" s="332">
        <f>H112+'UAT6-Jun'!H127</f>
        <v>230385209</v>
      </c>
      <c r="I114" s="332">
        <f>I112+'UAT6-Jun'!I127</f>
        <v>146088513</v>
      </c>
      <c r="J114" s="332">
        <f>J112+'UAT6-Jun'!J127</f>
        <v>66833729</v>
      </c>
      <c r="K114" s="332">
        <f>K112+'UAT6-Jun'!K127</f>
        <v>750000</v>
      </c>
      <c r="L114" s="332">
        <f>L112+'UAT6-Jun'!L127</f>
        <v>85459450</v>
      </c>
      <c r="M114" s="332">
        <f>M112+'UAT6-Jun'!M127</f>
        <v>235962</v>
      </c>
      <c r="N114" s="332">
        <f>N112+'UAT6-Jun'!N127</f>
        <v>128575</v>
      </c>
      <c r="O114" s="400">
        <f>O112+'UAT6-Jun'!O127</f>
        <v>3200000</v>
      </c>
      <c r="P114" s="346">
        <f t="shared" si="38"/>
        <v>626438541</v>
      </c>
      <c r="Q114" s="347"/>
      <c r="R114" s="347"/>
      <c r="S114" s="347"/>
      <c r="T114" s="347"/>
      <c r="U114" s="347"/>
    </row>
    <row r="115" spans="1:31">
      <c r="A115" s="445" t="s">
        <v>489</v>
      </c>
      <c r="B115" s="332">
        <f>B109+'UAT6-Jun'!B128</f>
        <v>6058500</v>
      </c>
      <c r="C115" s="332">
        <f>C109+'UAT6-Jun'!C128</f>
        <v>5498850</v>
      </c>
      <c r="D115" s="332">
        <f>D109+'UAT6-Jun'!D128</f>
        <v>1237500</v>
      </c>
      <c r="E115" s="332">
        <f>E109+'UAT6-Jun'!E128</f>
        <v>7035000</v>
      </c>
      <c r="F115" s="332">
        <f>F109+'UAT6-Jun'!F128</f>
        <v>0</v>
      </c>
      <c r="G115" s="332">
        <f>G109+'UAT6-Jun'!G128</f>
        <v>0</v>
      </c>
      <c r="H115" s="332">
        <f>H109+'UAT6-Jun'!H128</f>
        <v>3876000</v>
      </c>
      <c r="I115" s="332">
        <f>I109+'UAT6-Jun'!I128</f>
        <v>3459000</v>
      </c>
      <c r="J115" s="332">
        <f>J109+'UAT6-Jun'!J128</f>
        <v>24170000</v>
      </c>
      <c r="K115" s="332">
        <f>K109+'UAT6-Jun'!K128</f>
        <v>0</v>
      </c>
      <c r="L115" s="332">
        <f>L109+'UAT6-Jun'!L128</f>
        <v>25481000</v>
      </c>
      <c r="M115" s="332">
        <f>M109+'UAT6-Jun'!M128</f>
        <v>0</v>
      </c>
      <c r="N115" s="332">
        <f>N109+'UAT6-Jun'!N128</f>
        <v>0</v>
      </c>
      <c r="O115" s="400">
        <f>O109+'UAT6-Jun'!O128</f>
        <v>0</v>
      </c>
      <c r="P115" s="346">
        <f t="shared" si="38"/>
        <v>76815850</v>
      </c>
      <c r="Q115" s="347"/>
      <c r="R115" s="347"/>
      <c r="S115" s="347"/>
      <c r="T115" s="347"/>
      <c r="U115" s="347"/>
    </row>
    <row r="116" spans="1:31">
      <c r="A116" s="412"/>
      <c r="B116" s="14"/>
      <c r="C116" s="7"/>
      <c r="D116" s="7"/>
      <c r="E116" s="322"/>
      <c r="F116" s="7"/>
      <c r="G116" s="7"/>
      <c r="H116" s="7"/>
      <c r="I116" s="7"/>
      <c r="J116" s="7"/>
      <c r="K116" s="322"/>
      <c r="L116" s="322"/>
      <c r="M116" s="322"/>
      <c r="N116" s="322"/>
      <c r="O116" s="381"/>
      <c r="P116" s="346"/>
      <c r="Q116" s="347"/>
      <c r="R116" s="380"/>
      <c r="S116" s="380"/>
      <c r="T116" s="380"/>
      <c r="U116" s="380"/>
    </row>
    <row r="117" spans="1:31" ht="15.6">
      <c r="A117" s="411" t="s">
        <v>825</v>
      </c>
      <c r="B117" s="14"/>
      <c r="C117" s="7"/>
      <c r="D117" s="7"/>
      <c r="E117" s="322"/>
      <c r="F117" s="7"/>
      <c r="G117" s="7"/>
      <c r="H117" s="7"/>
      <c r="I117" s="7"/>
      <c r="J117" s="7"/>
      <c r="K117" s="322"/>
      <c r="L117" s="322"/>
      <c r="M117" s="322"/>
      <c r="N117" s="322"/>
      <c r="O117" s="381"/>
      <c r="P117" s="346"/>
      <c r="Q117" s="347"/>
      <c r="R117" s="347"/>
      <c r="S117" s="347"/>
      <c r="T117" s="347"/>
      <c r="U117" s="347"/>
    </row>
    <row r="118" spans="1:31">
      <c r="A118" s="445" t="s">
        <v>432</v>
      </c>
      <c r="B118" s="549">
        <v>160</v>
      </c>
      <c r="C118" s="580">
        <f>ROUND(20*6.4/365*365,0)</f>
        <v>128</v>
      </c>
      <c r="D118" s="549"/>
      <c r="E118" s="549">
        <f>'UAT6-Jun'!E131</f>
        <v>160</v>
      </c>
      <c r="F118" s="549">
        <f>'UAT6-Jun'!F131</f>
        <v>128</v>
      </c>
      <c r="G118" s="549">
        <f>'UAT6-Jun'!G131</f>
        <v>0</v>
      </c>
      <c r="H118" s="549">
        <f>'UAT6-Jun'!H131</f>
        <v>153</v>
      </c>
      <c r="I118" s="549">
        <f>'UAT6-Jun'!I131</f>
        <v>0</v>
      </c>
      <c r="J118" s="549">
        <f>'UAT6-Jun'!J131</f>
        <v>89</v>
      </c>
      <c r="K118" s="549">
        <f>'UAT6-Jun'!K131</f>
        <v>160</v>
      </c>
      <c r="L118" s="549">
        <f>'UAT6-Jun'!L131</f>
        <v>160</v>
      </c>
      <c r="M118" s="549">
        <f>'UAT6-Jun'!M131</f>
        <v>160</v>
      </c>
      <c r="N118" s="549">
        <f>'UAT6-Jun'!N131</f>
        <v>160</v>
      </c>
      <c r="O118" s="550">
        <f>'UAT6-Jun'!O131</f>
        <v>107</v>
      </c>
      <c r="P118" s="478">
        <v>1540</v>
      </c>
      <c r="Q118" s="347"/>
      <c r="R118" s="347"/>
      <c r="S118" s="347"/>
      <c r="T118" s="347"/>
      <c r="U118" s="347"/>
    </row>
    <row r="119" spans="1:31">
      <c r="A119" s="445" t="s">
        <v>433</v>
      </c>
      <c r="B119" s="549">
        <v>80</v>
      </c>
      <c r="C119" s="580">
        <f>ROUND(10*6.4/365*365,0)</f>
        <v>64</v>
      </c>
      <c r="D119" s="549"/>
      <c r="E119" s="549">
        <f>'UAT6-Jun'!E132</f>
        <v>80</v>
      </c>
      <c r="F119" s="549">
        <f>'UAT6-Jun'!F132</f>
        <v>64</v>
      </c>
      <c r="G119" s="549">
        <f>'UAT6-Jun'!G132</f>
        <v>0</v>
      </c>
      <c r="H119" s="549">
        <f>'UAT6-Jun'!H132</f>
        <v>76</v>
      </c>
      <c r="I119" s="549">
        <f>'UAT6-Jun'!I132</f>
        <v>0</v>
      </c>
      <c r="J119" s="549">
        <f>'UAT6-Jun'!J132</f>
        <v>44</v>
      </c>
      <c r="K119" s="549">
        <f>'UAT6-Jun'!K132</f>
        <v>80</v>
      </c>
      <c r="L119" s="549">
        <f>'UAT6-Jun'!L132</f>
        <v>80</v>
      </c>
      <c r="M119" s="549">
        <f>'UAT6-Jun'!M132</f>
        <v>80</v>
      </c>
      <c r="N119" s="549">
        <f>'UAT6-Jun'!N132</f>
        <v>80</v>
      </c>
      <c r="O119" s="550">
        <f>'UAT6-Jun'!O132</f>
        <v>54</v>
      </c>
      <c r="P119" s="478">
        <v>769</v>
      </c>
      <c r="Q119" s="347"/>
      <c r="R119" s="347"/>
      <c r="S119" s="347"/>
      <c r="T119" s="347"/>
      <c r="U119" s="347"/>
    </row>
    <row r="120" spans="1:31">
      <c r="A120" s="445" t="s">
        <v>434</v>
      </c>
      <c r="B120" s="549">
        <v>0</v>
      </c>
      <c r="C120" s="549">
        <v>24.21</v>
      </c>
      <c r="D120" s="549"/>
      <c r="E120" s="549">
        <v>0</v>
      </c>
      <c r="F120" s="549">
        <v>0</v>
      </c>
      <c r="G120" s="549">
        <v>0</v>
      </c>
      <c r="H120" s="549">
        <v>0</v>
      </c>
      <c r="I120" s="549">
        <v>0</v>
      </c>
      <c r="J120" s="549">
        <v>0</v>
      </c>
      <c r="K120" s="549">
        <v>0</v>
      </c>
      <c r="L120" s="549">
        <v>0</v>
      </c>
      <c r="M120" s="549">
        <v>0</v>
      </c>
      <c r="N120" s="549">
        <v>0</v>
      </c>
      <c r="O120" s="550">
        <v>0</v>
      </c>
      <c r="P120" s="478">
        <v>0</v>
      </c>
      <c r="Q120" s="347"/>
      <c r="R120" s="347"/>
      <c r="S120" s="347"/>
      <c r="T120" s="347"/>
      <c r="U120" s="347"/>
    </row>
    <row r="121" spans="1:31">
      <c r="A121" s="445" t="s">
        <v>435</v>
      </c>
      <c r="B121" s="549">
        <v>0</v>
      </c>
      <c r="C121" s="549">
        <v>0</v>
      </c>
      <c r="D121" s="549"/>
      <c r="E121" s="549">
        <v>0</v>
      </c>
      <c r="F121" s="549">
        <v>0</v>
      </c>
      <c r="G121" s="549">
        <v>0</v>
      </c>
      <c r="H121" s="549">
        <v>0</v>
      </c>
      <c r="I121" s="549">
        <v>0</v>
      </c>
      <c r="J121" s="549">
        <v>0</v>
      </c>
      <c r="K121" s="549">
        <v>0</v>
      </c>
      <c r="L121" s="549">
        <v>0</v>
      </c>
      <c r="M121" s="549">
        <v>0</v>
      </c>
      <c r="N121" s="549">
        <v>0</v>
      </c>
      <c r="O121" s="550">
        <v>0</v>
      </c>
      <c r="P121" s="478">
        <v>0</v>
      </c>
      <c r="Q121" s="347"/>
      <c r="R121" s="347"/>
      <c r="S121" s="347"/>
      <c r="T121" s="347"/>
      <c r="U121" s="347"/>
    </row>
    <row r="122" spans="1:31">
      <c r="A122" s="445" t="s">
        <v>436</v>
      </c>
      <c r="B122" s="560">
        <f>'UAT6-Jun'!B135</f>
        <v>14.08</v>
      </c>
      <c r="C122" s="560">
        <f>'UAT6-Jun'!C135</f>
        <v>0</v>
      </c>
      <c r="D122" s="560">
        <f>'UAT6-Jun'!D135</f>
        <v>0</v>
      </c>
      <c r="E122" s="560">
        <f>'UAT6-Jun'!E135</f>
        <v>0</v>
      </c>
      <c r="F122" s="560">
        <f>'UAT6-Jun'!F135</f>
        <v>0</v>
      </c>
      <c r="G122" s="560">
        <f>'UAT6-Jun'!G135</f>
        <v>0</v>
      </c>
      <c r="H122" s="560">
        <f>'UAT6-Jun'!H135</f>
        <v>0</v>
      </c>
      <c r="I122" s="560">
        <f>'UAT6-Jun'!I135</f>
        <v>0</v>
      </c>
      <c r="J122" s="560">
        <f>'UAT6-Jun'!J135</f>
        <v>0</v>
      </c>
      <c r="K122" s="560">
        <f>'UAT6-Jun'!K135</f>
        <v>0</v>
      </c>
      <c r="L122" s="560">
        <f>'UAT6-Jun'!L135</f>
        <v>0</v>
      </c>
      <c r="M122" s="560">
        <f>'UAT6-Jun'!M135</f>
        <v>0</v>
      </c>
      <c r="N122" s="560">
        <f>'UAT6-Jun'!N135</f>
        <v>0</v>
      </c>
      <c r="O122" s="602">
        <f>'UAT6-Jun'!O135</f>
        <v>0</v>
      </c>
      <c r="P122" s="478">
        <v>0</v>
      </c>
      <c r="Q122" s="347"/>
      <c r="R122" s="347"/>
      <c r="S122" s="347"/>
      <c r="T122" s="347"/>
      <c r="U122" s="347"/>
    </row>
    <row r="123" spans="1:31">
      <c r="A123" s="445"/>
      <c r="F123" s="5"/>
      <c r="G123" s="5"/>
      <c r="H123" s="5"/>
      <c r="I123" s="5"/>
      <c r="P123" s="347"/>
      <c r="Q123" s="347"/>
      <c r="R123" s="347"/>
      <c r="S123" s="347"/>
      <c r="T123" s="347"/>
      <c r="U123" s="347"/>
    </row>
    <row r="124" spans="1:31" ht="15.6">
      <c r="A124" s="411" t="s">
        <v>437</v>
      </c>
      <c r="Q124" s="537"/>
      <c r="R124" s="537"/>
      <c r="S124" s="537"/>
      <c r="T124" s="537"/>
      <c r="U124" s="537"/>
    </row>
    <row r="125" spans="1:31">
      <c r="A125" s="6" t="s">
        <v>863</v>
      </c>
      <c r="B125" s="551">
        <f>IF(OR(B12="S",B12="C"),0,IF(OR(B12="1",B12="3"),ROUND(20*8*B18/365,5),ROUND(20*'New Hire'!C24*B18/365,5)))+'UAT6-Jun'!B138</f>
        <v>92.931489999999997</v>
      </c>
      <c r="C125" s="581">
        <f>ROUND(20*6.4/365,5)*('UAT1-Jan'!C16+'UAT2-Feb'!C16+'UAT3-Mar'!C16+'UAT4-Apr'!C16+'UAT5-May'!C16+'UAT6-Jun'!C20+'UAT7-Jul'!C18)</f>
        <v>74.344160000000002</v>
      </c>
      <c r="D125" s="551"/>
      <c r="E125" s="551">
        <f>IF(OR(E12="S",E12="C"),0,IF(OR(E12="1",E12="3"),ROUND(20*8*E18/365,5),ROUND(20*'New Hire'!F24*E18/365,5)))+'UAT6-Jun'!E138</f>
        <v>92.931489999999997</v>
      </c>
      <c r="F125" s="551">
        <f>IF(OR(F12="S",F12="C"),0,IF(OR(F12="1",F12="3"),ROUND(20*8*F18/365,5),ROUND(20*'New Hire'!G24*F18/365,5)))+'UAT6-Jun'!F138</f>
        <v>74.345199999999991</v>
      </c>
      <c r="G125" s="551">
        <f>IF(OR(G12="S",G12="C"),0,IF(OR(G12="1",G12="3"),ROUND(20*8*G18/365,5),ROUND(20*'New Hire'!H24*G18/365,5)))+'UAT6-Jun'!G138</f>
        <v>0</v>
      </c>
      <c r="H125" s="551">
        <f>IF(OR(H12="S",H12="C"),0,IF(OR(H12="1",H12="3"),ROUND(20*8*H18/365,5),ROUND(20*'New Hire'!I24*H18/365,5)))+'UAT6-Jun'!H138</f>
        <v>46.46575</v>
      </c>
      <c r="I125" s="551">
        <f>IF(OR(I12="S",I12="C"),0,IF(OR(I12="1",I12="3"),ROUND(20*8*I18/365,5),ROUND(20*'New Hire'!J24*I18/365,5)))+'UAT6-Jun'!I138</f>
        <v>0</v>
      </c>
      <c r="J125" s="551">
        <f>IF(OR(J12="S",J12="C"),0,IF(OR(J12="1",J12="3"),ROUND(20*8*J18/365,5),ROUND(20*'New Hire'!K24*J18/365,5)))+'UAT6-Jun'!J138</f>
        <v>24.19726</v>
      </c>
      <c r="K125" s="551">
        <f>IF(OR(K12="S",K12="C"),0,IF(OR(K12="1",K12="3"),ROUND(20*8*K18/365,5),ROUND(20*'New Hire'!L24*K18/365,5)))+'UAT6-Jun'!K138</f>
        <v>92.931489999999997</v>
      </c>
      <c r="L125" s="551">
        <f>IF(OR(L12="S",L12="C"),0,IF(OR(L12="1",L12="3"),ROUND(20*8*L18/365,5),ROUND(20*'New Hire'!M24*L18/365,5)))+'UAT6-Jun'!L138</f>
        <v>92.931489999999997</v>
      </c>
      <c r="M125" s="551">
        <f>IF(OR(M12="S",M12="C"),0,IF(OR(M12="1",M12="3"),ROUND(20*8*M18/365,5),ROUND(20*'New Hire'!N24*M18/365,5)))+'UAT6-Jun'!M138</f>
        <v>92.931489999999997</v>
      </c>
      <c r="N125" s="551">
        <f>IF(OR(N12="S",N12="C"),0,IF(OR(N12="1",N12="3"),ROUND(20*8*N18/365,5),ROUND(20*'New Hire'!O24*N18/365,5)))+'UAT6-Jun'!N138</f>
        <v>92.931489999999997</v>
      </c>
      <c r="O125" s="551">
        <f>IF(OR(O12="S",O12="C"),0,IF(OR(O12="1",O12="3"),ROUND(20*8*O18/365,5),ROUND(20*'New Hire'!P24*O18/365,5)))+'UAT6-Jun'!O138</f>
        <v>40.328760000000003</v>
      </c>
      <c r="R125" s="347"/>
      <c r="S125" s="347"/>
      <c r="T125" s="347"/>
      <c r="U125" s="347"/>
      <c r="AD125" s="160"/>
      <c r="AE125" s="160"/>
    </row>
    <row r="126" spans="1:31" s="160" customFormat="1">
      <c r="A126" s="6" t="s">
        <v>864</v>
      </c>
      <c r="B126" s="552">
        <f>IF(OR(B12="S",B12="C"),0,IF(OR(B12="1",B12="3"),ROUND(10*8*B18/365,5),ROUND(10*'New Hire'!C24*B18/365,5)))+'UAT6-Jun'!B139</f>
        <v>46.46575</v>
      </c>
      <c r="C126" s="582">
        <f>ROUND(10*6.4/365,5)*('UAT1-Jan'!C16+'UAT2-Feb'!C16+'UAT3-Mar'!C16+'UAT4-Apr'!C16+'UAT5-May'!C16+'UAT6-Jun'!C20+'UAT7-Jul'!C18)</f>
        <v>37.172080000000001</v>
      </c>
      <c r="D126" s="552"/>
      <c r="E126" s="552">
        <f>IF(OR(E12="S",E12="C"),0,IF(OR(E12="1",E12="3"),ROUND(10*8*E18/365,5),ROUND(10*'New Hire'!F24*E18/365,5)))+'UAT6-Jun'!E139</f>
        <v>46.46575</v>
      </c>
      <c r="F126" s="552">
        <f>IF(OR(F12="S",F12="C"),0,IF(OR(F12="1",F12="3"),ROUND(10*8*F18/365,5),ROUND(10*'New Hire'!G24*F18/365,5)))+'UAT6-Jun'!F139</f>
        <v>37.172609999999999</v>
      </c>
      <c r="G126" s="552">
        <f>IF(OR(G12="S",G12="C"),0,IF(OR(G12="1",G12="3"),ROUND(10*8*G18/365,5),ROUND(10*'New Hire'!H24*G18/365,5)))+'UAT6-Jun'!G139</f>
        <v>0</v>
      </c>
      <c r="H126" s="552">
        <f>IF(OR(H12="S",H12="C"),0,IF(OR(H12="1",H12="3"),ROUND(10*8*H18/365,5),ROUND(10*'New Hire'!I24*H18/365,5)))+'UAT6-Jun'!H139</f>
        <v>23.232869999999998</v>
      </c>
      <c r="I126" s="552">
        <f>IF(OR(I12="S",I12="C"),0,IF(OR(I12="1",I12="3"),ROUND(10*8*I18/365,5),ROUND(10*'New Hire'!J24*I18/365,5)))+'UAT6-Jun'!I139</f>
        <v>0</v>
      </c>
      <c r="J126" s="552">
        <f>IF(OR(J12="S",J12="C"),0,IF(OR(J12="1",J12="3"),ROUND(10*8*J18/365,5),ROUND(10*'New Hire'!K24*J18/365,5)))+'UAT6-Jun'!J139</f>
        <v>12.09864</v>
      </c>
      <c r="K126" s="552">
        <f>IF(OR(K12="S",K12="C"),0,IF(OR(K12="1",K12="3"),ROUND(10*8*K18/365,5),ROUND(10*'New Hire'!L24*K18/365,5)))+'UAT6-Jun'!K139</f>
        <v>46.46575</v>
      </c>
      <c r="L126" s="552">
        <f>IF(OR(L12="S",L12="C"),0,IF(OR(L12="1",L12="3"),ROUND(10*8*L18/365,5),ROUND(10*'New Hire'!M24*L18/365,5)))+'UAT6-Jun'!L139</f>
        <v>46.46575</v>
      </c>
      <c r="M126" s="552">
        <f>IF(OR(M12="S",M12="C"),0,IF(OR(M12="1",M12="3"),ROUND(10*8*M18/365,5),ROUND(10*'New Hire'!N24*M18/365,5)))+'UAT6-Jun'!M139</f>
        <v>46.46575</v>
      </c>
      <c r="N126" s="552">
        <f>IF(OR(N12="S",N12="C"),0,IF(OR(N12="1",N12="3"),ROUND(10*8*N18/365,5),ROUND(10*'New Hire'!O24*N18/365,5)))+'UAT6-Jun'!N139</f>
        <v>46.46575</v>
      </c>
      <c r="O126" s="552">
        <f>IF(OR(O12="S",O12="C"),0,IF(OR(O12="1",O12="3"),ROUND(10*8*O18/365,5),ROUND(10*'New Hire'!P24*O18/365,5)))+'UAT6-Jun'!O139</f>
        <v>20.164380000000001</v>
      </c>
      <c r="P126"/>
      <c r="Q126"/>
      <c r="R126" s="347"/>
      <c r="S126" s="347"/>
      <c r="T126" s="347"/>
      <c r="U126" s="347"/>
      <c r="V126" s="5"/>
      <c r="W126" s="5"/>
      <c r="X126" s="5"/>
      <c r="Y126" s="5"/>
      <c r="Z126" s="5"/>
      <c r="AA126" s="5"/>
      <c r="AB126" s="5"/>
      <c r="AC126" s="5"/>
      <c r="AD126"/>
      <c r="AE126"/>
    </row>
    <row r="127" spans="1:31">
      <c r="A127" s="445" t="s">
        <v>829</v>
      </c>
      <c r="B127" s="551">
        <f>IF('New Hire'!C78=1,ROUND(25/10*B14%/365,5)*B18,0)+'UAT6-Jun'!B140</f>
        <v>0</v>
      </c>
      <c r="C127" s="551">
        <f>IF('New Hire'!D78=1,ROUND(25/10*C14%/365,5)*C18,0)+'UAT6-Jun'!C140</f>
        <v>0</v>
      </c>
      <c r="D127" s="551"/>
      <c r="E127" s="551">
        <f>IF('New Hire'!F78=1,ROUND(25/10*E14%/365,5)*E18,0)+'UAT6-Jun'!E140</f>
        <v>0</v>
      </c>
      <c r="F127" s="551">
        <f>IF('New Hire'!G78=1,ROUND(25/10*F14%/365,5)*F18,0)+'UAT6-Jun'!F140</f>
        <v>1.4522000000000002</v>
      </c>
      <c r="G127" s="551">
        <f>IF('New Hire'!H78=1,ROUND(25/10*G14%/365,5)*G18,0)+'UAT6-Jun'!G140</f>
        <v>0</v>
      </c>
      <c r="H127" s="551">
        <f>IF('New Hire'!I78=1,ROUND(25/10*H14%/365,5)*H18,0)+'UAT6-Jun'!H140</f>
        <v>0</v>
      </c>
      <c r="I127" s="551">
        <f>IF('New Hire'!J78=1,ROUND(25/10*I14%/365,5)*I18,0)+'UAT6-Jun'!I140</f>
        <v>0</v>
      </c>
      <c r="J127" s="551">
        <f>IF('New Hire'!K78=1,ROUND(25/10*J14%/365,5)*J18,0)+'UAT6-Jun'!J140</f>
        <v>0</v>
      </c>
      <c r="K127" s="551">
        <f>IF('New Hire'!L78=1,ROUND(25/10*K14%/365,5)*K18,0)+'UAT6-Jun'!K140</f>
        <v>0</v>
      </c>
      <c r="L127" s="551">
        <f>IF('New Hire'!M78=1,ROUND(25/10*L14%/365,5)*L18,0)+'UAT6-Jun'!L140</f>
        <v>0</v>
      </c>
      <c r="M127" s="551">
        <f>IF('New Hire'!N78=1,ROUND(25/10*M14%/365,5)*M18,0)+'UAT6-Jun'!M140</f>
        <v>0</v>
      </c>
      <c r="N127" s="551">
        <f>IF('New Hire'!O78=1,ROUND(25/10*N14%/365,5)*N18,0)+'UAT6-Jun'!N140</f>
        <v>0</v>
      </c>
      <c r="O127" s="551">
        <f>IF('New Hire'!P78=1,ROUND(25/10*O14%/365,5)*O18,0)+'UAT6-Jun'!O140</f>
        <v>0</v>
      </c>
      <c r="P127" s="291"/>
      <c r="R127" s="347"/>
      <c r="S127" s="347"/>
      <c r="T127" s="347"/>
      <c r="U127" s="347"/>
    </row>
    <row r="128" spans="1:31">
      <c r="A128" s="445" t="s">
        <v>830</v>
      </c>
      <c r="B128" s="552">
        <f>IF(B12="C",0,IF('New Hire'!C78=1,0,ROUND(5/5*B14%/365,5)*B18)+'UAT6-Jun'!B141)</f>
        <v>0.58087999999999995</v>
      </c>
      <c r="C128" s="552">
        <f>IF(C12="C",0,IF('New Hire'!D78=1,0,ROUND(5/5*C14%/365,5)*C18)+'UAT6-Jun'!C141)</f>
        <v>0.29043999999999998</v>
      </c>
      <c r="D128" s="552"/>
      <c r="E128" s="552">
        <f>IF(E12="C",0,IF('New Hire'!F78=1,0,ROUND(5/5*E14%/365,5)*E18)+'UAT6-Jun'!E141)</f>
        <v>0.58087999999999995</v>
      </c>
      <c r="F128" s="552">
        <f>IF(F12="C",0,IF('New Hire'!G78=1,0,ROUND(5/5*F14%/365,5)*F18)+'UAT6-Jun'!F141)</f>
        <v>0</v>
      </c>
      <c r="G128" s="552">
        <f>IF(G12="C",0,IF('New Hire'!H78=1,0,ROUND(5/5*G14%/365,5)*G18)+'UAT6-Jun'!G141)</f>
        <v>0</v>
      </c>
      <c r="H128" s="552">
        <f>IF(H12="C",0,IF('New Hire'!I78=1,0,ROUND(5/5*H14%/365,5)*H18)+'UAT6-Jun'!H141)</f>
        <v>0.29043999999999998</v>
      </c>
      <c r="I128" s="552">
        <f>IF(I12="C",0,IF('New Hire'!J78=1,0,ROUND(5/5*I14%/365,5)*I18)+'UAT6-Jun'!I141)</f>
        <v>0.53429999999999989</v>
      </c>
      <c r="J128" s="552">
        <f>IF(J12="C",0,IF('New Hire'!K78=1,0,ROUND(5/5*J14%/365,5)*J18)+'UAT6-Jun'!J141)</f>
        <v>0.25207999999999997</v>
      </c>
      <c r="K128" s="552">
        <f>IF(K12="C",0,IF('New Hire'!L78=1,0,ROUND(5/5*K14%/365,5)*K18)+'UAT6-Jun'!K141)</f>
        <v>0.58087999999999995</v>
      </c>
      <c r="L128" s="552">
        <f>IF(L12="C",0,IF('New Hire'!M78=1,0,ROUND(5/5*L14%/365,5)*L18)+'UAT6-Jun'!L141)</f>
        <v>0.58087999999999995</v>
      </c>
      <c r="M128" s="552">
        <f>IF(M12="C",0,IF('New Hire'!N78=1,0,ROUND(5/5*M14%/365,5)*M18)+'UAT6-Jun'!M141)</f>
        <v>0.58087999999999995</v>
      </c>
      <c r="N128" s="552">
        <f>IF(N12="C",0,IF('New Hire'!O78=1,0,ROUND(5/5*N14%/365,5)*N18)+'UAT6-Jun'!N141)</f>
        <v>0.58087999999999995</v>
      </c>
      <c r="O128" s="552">
        <f>IF(O12="C",0,IF('New Hire'!P78=1,0,ROUND(5/5*O14%/365,5)*O18)+'UAT6-Jun'!O141)</f>
        <v>0.25207999999999997</v>
      </c>
      <c r="R128" s="347"/>
      <c r="S128" s="347"/>
      <c r="T128" s="347"/>
      <c r="U128" s="347"/>
    </row>
    <row r="129" spans="1:15">
      <c r="A129" s="445"/>
      <c r="B129" s="549"/>
      <c r="C129" s="549"/>
      <c r="D129" s="549"/>
      <c r="E129" s="549"/>
      <c r="F129" s="549"/>
      <c r="G129" s="549"/>
      <c r="H129" s="549"/>
      <c r="I129" s="549"/>
      <c r="J129" s="549"/>
      <c r="K129" s="549"/>
      <c r="L129" s="549"/>
      <c r="M129" s="549"/>
      <c r="N129" s="549"/>
      <c r="O129" s="549"/>
    </row>
    <row r="130" spans="1:15" ht="15.6">
      <c r="A130" s="411" t="s">
        <v>629</v>
      </c>
    </row>
    <row r="131" spans="1:15">
      <c r="A131" s="535" t="s">
        <v>479</v>
      </c>
      <c r="B131" s="536">
        <v>7000000</v>
      </c>
      <c r="C131" s="536">
        <v>6200000</v>
      </c>
      <c r="D131" s="536"/>
      <c r="E131" s="536">
        <v>11000000</v>
      </c>
      <c r="F131" s="536">
        <v>16000000</v>
      </c>
      <c r="H131" s="536">
        <v>5500</v>
      </c>
      <c r="I131" s="536">
        <v>4200</v>
      </c>
      <c r="J131" s="536">
        <v>55000000</v>
      </c>
      <c r="K131" s="536">
        <v>10000000</v>
      </c>
      <c r="L131" s="536">
        <v>11500000</v>
      </c>
      <c r="M131" s="536">
        <v>7000000</v>
      </c>
      <c r="N131" s="536">
        <v>8000000</v>
      </c>
      <c r="O131" s="536">
        <v>6000000</v>
      </c>
    </row>
    <row r="132" spans="1:15">
      <c r="A132" s="463" t="s">
        <v>752</v>
      </c>
      <c r="B132" s="502"/>
      <c r="C132" s="502"/>
      <c r="D132" s="502"/>
      <c r="E132" s="502"/>
      <c r="F132" s="502"/>
      <c r="G132" s="502"/>
      <c r="H132" s="502"/>
      <c r="I132" s="502"/>
      <c r="J132" s="502"/>
      <c r="K132" s="502"/>
      <c r="L132" s="502"/>
      <c r="M132" s="502"/>
      <c r="N132" s="502">
        <v>6500000</v>
      </c>
      <c r="O132" s="502"/>
    </row>
    <row r="133" spans="1:15">
      <c r="A133" s="445" t="s">
        <v>776</v>
      </c>
      <c r="B133" s="452"/>
      <c r="C133" s="452"/>
      <c r="D133" s="452"/>
      <c r="E133" s="452"/>
      <c r="F133" s="452"/>
      <c r="G133" s="536">
        <v>250</v>
      </c>
      <c r="H133" s="452"/>
      <c r="I133" s="452"/>
      <c r="J133" s="452"/>
      <c r="K133" s="452"/>
      <c r="L133" s="452"/>
      <c r="M133" s="452"/>
      <c r="N133" s="452"/>
      <c r="O133" s="536"/>
    </row>
    <row r="134" spans="1:15">
      <c r="A134" s="451" t="s">
        <v>496</v>
      </c>
      <c r="B134" s="452">
        <v>700000</v>
      </c>
      <c r="C134" s="452">
        <v>620000</v>
      </c>
      <c r="D134" s="452"/>
      <c r="E134" s="452">
        <v>0</v>
      </c>
      <c r="F134" s="452">
        <v>0</v>
      </c>
      <c r="G134" s="452">
        <v>0</v>
      </c>
      <c r="H134" s="452">
        <v>550</v>
      </c>
      <c r="I134" s="452">
        <v>0</v>
      </c>
      <c r="J134" s="452">
        <v>5500000</v>
      </c>
      <c r="K134" s="452">
        <v>1000000</v>
      </c>
      <c r="L134" s="452">
        <v>0</v>
      </c>
      <c r="M134" s="452">
        <v>1400000</v>
      </c>
      <c r="N134" s="452">
        <v>1200000</v>
      </c>
      <c r="O134" s="452">
        <f>'New Hire'!P34</f>
        <v>0</v>
      </c>
    </row>
    <row r="135" spans="1:15">
      <c r="A135" s="465" t="s">
        <v>753</v>
      </c>
      <c r="B135" s="502"/>
      <c r="C135" s="502"/>
      <c r="D135" s="502"/>
      <c r="E135" s="502"/>
      <c r="F135" s="502"/>
      <c r="G135" s="502"/>
      <c r="H135" s="502"/>
      <c r="I135" s="502"/>
      <c r="J135" s="502"/>
      <c r="K135" s="502"/>
      <c r="L135" s="502"/>
      <c r="M135" s="502"/>
      <c r="N135" s="502">
        <v>1000000</v>
      </c>
      <c r="O135" s="502"/>
    </row>
    <row r="136" spans="1:15">
      <c r="A136" s="415" t="s">
        <v>569</v>
      </c>
      <c r="B136" s="452">
        <v>1400000</v>
      </c>
      <c r="C136" s="452">
        <v>1240000</v>
      </c>
      <c r="D136" s="452"/>
      <c r="E136" s="452">
        <v>0</v>
      </c>
      <c r="F136" s="452">
        <v>0</v>
      </c>
      <c r="G136" s="452">
        <v>0</v>
      </c>
      <c r="H136" s="452">
        <v>1100</v>
      </c>
      <c r="I136" s="452">
        <v>0</v>
      </c>
      <c r="J136" s="452">
        <v>11000000</v>
      </c>
      <c r="K136" s="452">
        <v>2000000</v>
      </c>
      <c r="L136" s="452">
        <v>0</v>
      </c>
      <c r="M136" s="452">
        <v>2100000</v>
      </c>
      <c r="N136" s="452">
        <v>1650000</v>
      </c>
      <c r="O136" s="452">
        <f>'New Hire'!P36</f>
        <v>0</v>
      </c>
    </row>
    <row r="137" spans="1:15">
      <c r="A137" s="538" t="s">
        <v>754</v>
      </c>
      <c r="B137" s="502"/>
      <c r="C137" s="502"/>
      <c r="D137" s="502"/>
      <c r="E137" s="502"/>
      <c r="F137" s="502"/>
      <c r="G137" s="502"/>
      <c r="H137" s="502"/>
      <c r="I137" s="502"/>
      <c r="J137" s="502"/>
      <c r="K137" s="502"/>
      <c r="L137" s="502"/>
      <c r="M137" s="502"/>
      <c r="N137" s="502">
        <v>1500000</v>
      </c>
      <c r="O137" s="502"/>
    </row>
    <row r="138" spans="1:15">
      <c r="A138" s="423" t="s">
        <v>495</v>
      </c>
      <c r="B138" s="452"/>
      <c r="C138" s="452"/>
      <c r="D138" s="452"/>
      <c r="E138" s="452"/>
      <c r="F138" s="452"/>
      <c r="G138" s="452"/>
      <c r="H138" s="452"/>
      <c r="I138" s="452"/>
      <c r="J138" s="452"/>
      <c r="K138" s="452"/>
      <c r="L138" s="452"/>
      <c r="M138" s="452"/>
      <c r="N138" s="452"/>
      <c r="O138" s="452"/>
    </row>
    <row r="139" spans="1:15">
      <c r="A139" s="412" t="s">
        <v>530</v>
      </c>
      <c r="B139" s="452"/>
      <c r="C139" s="452"/>
      <c r="D139" s="452"/>
      <c r="E139" s="452"/>
      <c r="F139" s="452"/>
      <c r="G139" s="452"/>
      <c r="H139" s="452"/>
      <c r="I139" s="452"/>
      <c r="J139" s="452"/>
      <c r="K139" s="452"/>
      <c r="L139" s="452"/>
      <c r="M139" s="452"/>
      <c r="N139" s="452"/>
      <c r="O139" s="452"/>
    </row>
    <row r="140" spans="1:15">
      <c r="A140" s="423" t="s">
        <v>598</v>
      </c>
      <c r="B140" s="452"/>
      <c r="C140" s="452"/>
      <c r="D140" s="452"/>
      <c r="E140" s="452"/>
      <c r="F140" s="452"/>
      <c r="G140" s="452"/>
      <c r="H140" s="452"/>
      <c r="I140" s="452"/>
      <c r="J140" s="452"/>
      <c r="K140" s="452"/>
      <c r="L140" s="452"/>
      <c r="M140" s="452"/>
      <c r="N140" s="452"/>
      <c r="O140" s="452"/>
    </row>
    <row r="141" spans="1:15">
      <c r="A141" s="415" t="s">
        <v>493</v>
      </c>
      <c r="B141" s="452"/>
      <c r="C141" s="452"/>
      <c r="D141" s="452"/>
      <c r="E141" s="452"/>
      <c r="F141" s="452"/>
      <c r="G141" s="452"/>
      <c r="H141" s="452"/>
      <c r="I141" s="452"/>
      <c r="J141" s="452"/>
      <c r="K141" s="452"/>
      <c r="L141" s="452"/>
      <c r="M141" s="452"/>
      <c r="N141" s="452"/>
      <c r="O141" s="452"/>
    </row>
    <row r="142" spans="1:15">
      <c r="A142" s="415" t="s">
        <v>499</v>
      </c>
      <c r="B142" s="452"/>
      <c r="C142" s="452"/>
      <c r="D142" s="452"/>
      <c r="E142" s="452"/>
      <c r="F142" s="452"/>
      <c r="G142" s="452"/>
      <c r="H142" s="452"/>
      <c r="I142" s="452"/>
      <c r="J142" s="452"/>
      <c r="K142" s="452"/>
      <c r="L142" s="452"/>
      <c r="M142" s="452"/>
      <c r="N142" s="452"/>
      <c r="O142" s="452"/>
    </row>
    <row r="143" spans="1:15">
      <c r="A143" s="6" t="s">
        <v>630</v>
      </c>
      <c r="B143" s="452"/>
      <c r="C143" s="452"/>
      <c r="D143" s="452"/>
      <c r="E143" s="452"/>
      <c r="F143" s="452"/>
      <c r="G143" s="452"/>
      <c r="H143" s="452"/>
      <c r="I143" s="452"/>
      <c r="J143" s="452"/>
      <c r="K143" s="452"/>
      <c r="L143" s="452"/>
      <c r="M143" s="452"/>
      <c r="N143" s="452"/>
      <c r="O143" s="452"/>
    </row>
    <row r="144" spans="1:15">
      <c r="A144" s="6" t="s">
        <v>631</v>
      </c>
      <c r="B144" s="452"/>
      <c r="C144" s="452"/>
      <c r="D144" s="452"/>
      <c r="E144" s="452"/>
      <c r="F144" s="452"/>
      <c r="G144" s="452"/>
      <c r="H144" s="452"/>
      <c r="I144" s="452"/>
      <c r="J144" s="452"/>
      <c r="K144" s="452"/>
      <c r="L144" s="452"/>
      <c r="M144" s="452"/>
      <c r="N144" s="452"/>
      <c r="O144" s="452"/>
    </row>
    <row r="145" spans="1:15">
      <c r="A145" s="6" t="s">
        <v>632</v>
      </c>
      <c r="B145" s="452"/>
      <c r="C145" s="452"/>
      <c r="D145" s="452"/>
      <c r="E145" s="452"/>
      <c r="F145" s="452"/>
      <c r="G145" s="452"/>
      <c r="H145" s="452"/>
      <c r="I145" s="452"/>
      <c r="J145" s="452"/>
      <c r="K145" s="452"/>
      <c r="L145" s="452"/>
      <c r="M145" s="452"/>
      <c r="N145" s="452"/>
      <c r="O145" s="452"/>
    </row>
    <row r="146" spans="1:15">
      <c r="A146" s="412" t="s">
        <v>613</v>
      </c>
      <c r="B146" s="452"/>
      <c r="C146" s="452"/>
      <c r="D146" s="452"/>
      <c r="E146" s="452"/>
      <c r="F146" s="452"/>
      <c r="G146" s="452"/>
      <c r="H146" s="452">
        <v>100</v>
      </c>
      <c r="I146" s="452">
        <v>100</v>
      </c>
      <c r="J146" s="452"/>
      <c r="K146" s="452"/>
      <c r="L146" s="452"/>
      <c r="M146" s="452"/>
      <c r="N146" s="452"/>
      <c r="O146" s="452"/>
    </row>
    <row r="147" spans="1:15">
      <c r="A147" s="412" t="s">
        <v>614</v>
      </c>
      <c r="B147" s="452"/>
      <c r="C147" s="452"/>
      <c r="D147" s="452"/>
      <c r="E147" s="452"/>
      <c r="F147" s="452"/>
      <c r="G147" s="452"/>
      <c r="H147" s="452">
        <v>200</v>
      </c>
      <c r="I147" s="452">
        <v>200</v>
      </c>
      <c r="J147" s="452"/>
      <c r="K147" s="452"/>
      <c r="L147" s="452"/>
      <c r="M147" s="452"/>
      <c r="N147" s="452"/>
      <c r="O147" s="452"/>
    </row>
    <row r="148" spans="1:15">
      <c r="A148" s="6" t="s">
        <v>633</v>
      </c>
      <c r="B148" s="452">
        <f>IF(OR(B21="A",B21="B"),B131,(B131-B146-B147)*B92)</f>
        <v>7000000</v>
      </c>
      <c r="C148" s="452">
        <f>IF(OR(C21="A",C21="B"),C131,(C131-C146-C147)*C92)</f>
        <v>6200000</v>
      </c>
      <c r="D148" s="452"/>
      <c r="E148" s="452">
        <f t="shared" ref="E148:O148" si="46">IF(OR(E21="A",E21="B"),E131,(E131-E146-E147)*E92)</f>
        <v>11000000</v>
      </c>
      <c r="F148" s="452">
        <f t="shared" si="46"/>
        <v>16000000</v>
      </c>
      <c r="G148" s="452">
        <f t="shared" si="46"/>
        <v>0</v>
      </c>
      <c r="H148" s="452">
        <f t="shared" si="46"/>
        <v>5200</v>
      </c>
      <c r="I148" s="452">
        <f t="shared" si="46"/>
        <v>3900</v>
      </c>
      <c r="J148" s="452">
        <f t="shared" si="46"/>
        <v>55000000</v>
      </c>
      <c r="K148" s="452">
        <f t="shared" si="46"/>
        <v>10000000</v>
      </c>
      <c r="L148" s="452">
        <f t="shared" si="46"/>
        <v>11500000</v>
      </c>
      <c r="M148" s="452">
        <f t="shared" si="46"/>
        <v>7000000</v>
      </c>
      <c r="N148" s="452">
        <f t="shared" si="46"/>
        <v>8000000</v>
      </c>
      <c r="O148" s="452">
        <f t="shared" si="46"/>
        <v>6000000</v>
      </c>
    </row>
    <row r="149" spans="1:15">
      <c r="A149" s="6" t="s">
        <v>635</v>
      </c>
      <c r="B149" s="452">
        <f t="shared" ref="B149:O149" si="47">IF(B12="C",0,IF(OR(B21="A",B21="B"),0,ROUND(B148*$B$5,0)+ROUND(B134*$B$5,0)+ROUND(B136*$B$5,0)+ROUND(B139*$B$5,0)))</f>
        <v>0</v>
      </c>
      <c r="C149" s="452">
        <f t="shared" si="47"/>
        <v>0</v>
      </c>
      <c r="D149" s="452">
        <f t="shared" si="47"/>
        <v>0</v>
      </c>
      <c r="E149" s="452">
        <f t="shared" si="47"/>
        <v>0</v>
      </c>
      <c r="F149" s="452">
        <f t="shared" si="47"/>
        <v>0</v>
      </c>
      <c r="G149" s="452">
        <f t="shared" si="47"/>
        <v>0</v>
      </c>
      <c r="H149" s="452">
        <f t="shared" si="47"/>
        <v>160975000</v>
      </c>
      <c r="I149" s="452">
        <f t="shared" si="47"/>
        <v>91650000</v>
      </c>
      <c r="J149" s="452">
        <f t="shared" si="47"/>
        <v>0</v>
      </c>
      <c r="K149" s="452">
        <f t="shared" si="47"/>
        <v>0</v>
      </c>
      <c r="L149" s="452">
        <f t="shared" si="47"/>
        <v>0</v>
      </c>
      <c r="M149" s="452">
        <f t="shared" si="47"/>
        <v>0</v>
      </c>
      <c r="N149" s="452">
        <f t="shared" si="47"/>
        <v>0</v>
      </c>
      <c r="O149" s="452">
        <f t="shared" si="47"/>
        <v>0</v>
      </c>
    </row>
    <row r="150" spans="1:15">
      <c r="A150" s="6" t="s">
        <v>665</v>
      </c>
      <c r="B150" s="5">
        <v>0</v>
      </c>
      <c r="C150" s="5">
        <v>0</v>
      </c>
      <c r="E150" s="5">
        <v>0</v>
      </c>
      <c r="F150" s="5">
        <v>0</v>
      </c>
      <c r="G150" s="5">
        <v>0</v>
      </c>
      <c r="H150" s="5">
        <v>0</v>
      </c>
      <c r="I150" s="5">
        <v>0</v>
      </c>
      <c r="J150" s="5">
        <v>0</v>
      </c>
      <c r="K150" s="5">
        <v>0</v>
      </c>
      <c r="L150" s="5">
        <v>0</v>
      </c>
      <c r="M150" s="5">
        <v>0</v>
      </c>
      <c r="N150" s="5">
        <v>0</v>
      </c>
      <c r="O150" s="5">
        <v>0</v>
      </c>
    </row>
  </sheetData>
  <mergeCells count="4">
    <mergeCell ref="G6:J6"/>
    <mergeCell ref="X6:AA6"/>
    <mergeCell ref="P7:P8"/>
    <mergeCell ref="X9:AA12"/>
  </mergeCells>
  <phoneticPr fontId="104" type="noConversion"/>
  <pageMargins left="0.75" right="0.75" top="1" bottom="1" header="0.5" footer="0.5"/>
  <pageSetup paperSize="9" orientation="portrait" verticalDpi="90" r:id="rId1"/>
  <headerFooter alignWithMargins="0"/>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52"/>
  <sheetViews>
    <sheetView workbookViewId="0">
      <pane xSplit="1" ySplit="9" topLeftCell="T30" activePane="bottomRight" state="frozen"/>
      <selection pane="topRight" activeCell="B1" sqref="B1"/>
      <selection pane="bottomLeft" activeCell="A10" sqref="A10"/>
      <selection pane="bottomRight" activeCell="AB39" sqref="AB39:AB40"/>
    </sheetView>
  </sheetViews>
  <sheetFormatPr defaultRowHeight="13.8"/>
  <cols>
    <col min="1" max="1" width="31" style="5" bestFit="1" customWidth="1"/>
    <col min="2" max="5" width="10.77734375" style="5" customWidth="1"/>
    <col min="6" max="8" width="10.77734375" customWidth="1"/>
    <col min="9" max="9" width="11.6640625" bestFit="1" customWidth="1"/>
    <col min="10" max="15" width="10.77734375" customWidth="1"/>
    <col min="16" max="16" width="12.6640625" bestFit="1" customWidth="1"/>
    <col min="17" max="18" width="12.77734375" customWidth="1"/>
    <col min="19" max="21" width="10.77734375" customWidth="1"/>
    <col min="22" max="26" width="9.33203125" style="5" customWidth="1"/>
    <col min="27" max="27" width="10.77734375" style="5" bestFit="1" customWidth="1"/>
    <col min="28" max="29" width="9.33203125" style="5" customWidth="1"/>
  </cols>
  <sheetData>
    <row r="1" spans="1:29" s="3" customFormat="1" ht="20.399999999999999">
      <c r="A1" s="110" t="s">
        <v>6</v>
      </c>
      <c r="B1" s="110"/>
      <c r="C1" s="110"/>
      <c r="D1" s="110"/>
      <c r="E1" s="110"/>
      <c r="F1" s="449"/>
      <c r="L1" s="8"/>
      <c r="X1" s="1"/>
      <c r="Y1" s="1"/>
      <c r="Z1" s="1"/>
      <c r="AA1" s="1"/>
      <c r="AB1" s="1"/>
      <c r="AC1" s="1"/>
    </row>
    <row r="2" spans="1:29" s="3" customFormat="1" ht="12.75" customHeight="1">
      <c r="B2" s="116"/>
      <c r="C2" s="116"/>
      <c r="D2" s="116"/>
      <c r="E2" s="115"/>
      <c r="V2" s="22"/>
      <c r="W2" s="22"/>
      <c r="X2" s="22"/>
      <c r="Y2" s="22"/>
      <c r="Z2" s="22"/>
      <c r="AA2" s="2"/>
      <c r="AC2" s="2"/>
    </row>
    <row r="3" spans="1:29" s="3" customFormat="1" ht="30">
      <c r="A3" s="112" t="s">
        <v>923</v>
      </c>
      <c r="B3" s="116"/>
      <c r="C3" s="116"/>
      <c r="D3" s="116"/>
      <c r="E3" s="112"/>
      <c r="V3" s="22"/>
      <c r="W3" s="22"/>
      <c r="X3" s="22"/>
      <c r="Y3" s="22"/>
      <c r="Z3" s="22"/>
      <c r="AA3" s="2"/>
      <c r="AC3" s="2"/>
    </row>
    <row r="4" spans="1:29" s="116" customFormat="1">
      <c r="A4" s="116" t="s">
        <v>541</v>
      </c>
      <c r="B4" s="367">
        <v>23205</v>
      </c>
    </row>
    <row r="5" spans="1:29" s="116" customFormat="1">
      <c r="A5" s="116" t="s">
        <v>1273</v>
      </c>
      <c r="B5" s="367">
        <v>23500</v>
      </c>
    </row>
    <row r="6" spans="1:29" s="3" customFormat="1" ht="18" customHeight="1">
      <c r="A6" s="327">
        <v>43708</v>
      </c>
      <c r="B6" s="116"/>
      <c r="C6" s="116"/>
      <c r="D6" s="116"/>
      <c r="G6" s="721" t="s">
        <v>52</v>
      </c>
      <c r="H6" s="721"/>
      <c r="I6" s="721"/>
      <c r="J6" s="721"/>
      <c r="V6" s="22"/>
      <c r="W6" s="22"/>
      <c r="X6" s="720" t="s">
        <v>65</v>
      </c>
      <c r="Y6" s="720"/>
      <c r="Z6" s="720"/>
      <c r="AA6" s="720"/>
      <c r="AB6" s="2"/>
      <c r="AC6" s="2"/>
    </row>
    <row r="7" spans="1:29" s="4" customFormat="1">
      <c r="A7" s="409"/>
      <c r="B7" s="323" t="s">
        <v>34</v>
      </c>
      <c r="C7" s="324" t="s">
        <v>35</v>
      </c>
      <c r="D7" s="324" t="s">
        <v>36</v>
      </c>
      <c r="E7" s="324" t="s">
        <v>37</v>
      </c>
      <c r="F7" s="324" t="s">
        <v>38</v>
      </c>
      <c r="G7" s="324" t="s">
        <v>39</v>
      </c>
      <c r="H7" s="324" t="s">
        <v>40</v>
      </c>
      <c r="I7" s="324" t="s">
        <v>41</v>
      </c>
      <c r="J7" s="324" t="s">
        <v>42</v>
      </c>
      <c r="K7" s="324" t="s">
        <v>43</v>
      </c>
      <c r="L7" s="324" t="s">
        <v>44</v>
      </c>
      <c r="M7" s="324" t="s">
        <v>45</v>
      </c>
      <c r="N7" s="324" t="s">
        <v>46</v>
      </c>
      <c r="O7" s="324" t="s">
        <v>47</v>
      </c>
      <c r="P7" s="731" t="s">
        <v>500</v>
      </c>
      <c r="Q7" s="349" t="s">
        <v>516</v>
      </c>
      <c r="R7" s="349" t="s">
        <v>517</v>
      </c>
      <c r="S7" s="349" t="s">
        <v>519</v>
      </c>
      <c r="T7" s="349" t="s">
        <v>521</v>
      </c>
      <c r="U7" s="349" t="s">
        <v>523</v>
      </c>
      <c r="V7" s="350"/>
      <c r="W7" s="351"/>
      <c r="X7" s="351"/>
      <c r="Y7" s="351"/>
      <c r="Z7" s="351"/>
      <c r="AA7" s="351"/>
      <c r="AB7" s="351"/>
      <c r="AC7" s="352"/>
    </row>
    <row r="8" spans="1:29" ht="15.6">
      <c r="A8" s="410"/>
      <c r="B8" s="117">
        <f>'New Hire'!C6</f>
        <v>91999901</v>
      </c>
      <c r="C8" s="339">
        <f>'New Hire'!D6</f>
        <v>91999902</v>
      </c>
      <c r="D8" s="339">
        <f>'New Hire'!E6</f>
        <v>91999903</v>
      </c>
      <c r="E8" s="339">
        <f>'New Hire'!F6</f>
        <v>91999904</v>
      </c>
      <c r="F8" s="339">
        <f>'New Hire'!G6</f>
        <v>91999905</v>
      </c>
      <c r="G8" s="339">
        <f>'New Hire'!H6</f>
        <v>91999906</v>
      </c>
      <c r="H8" s="339">
        <f>'New Hire'!I6</f>
        <v>91999907</v>
      </c>
      <c r="I8" s="339">
        <f>'New Hire'!J6</f>
        <v>91999908</v>
      </c>
      <c r="J8" s="339">
        <f>'New Hire'!K6</f>
        <v>91999909</v>
      </c>
      <c r="K8" s="339">
        <f>'New Hire'!L6</f>
        <v>91999910</v>
      </c>
      <c r="L8" s="339">
        <f>'New Hire'!M6</f>
        <v>91999911</v>
      </c>
      <c r="M8" s="339">
        <f>'New Hire'!N6</f>
        <v>91999912</v>
      </c>
      <c r="N8" s="339">
        <f>'New Hire'!O6</f>
        <v>91999913</v>
      </c>
      <c r="O8" s="339">
        <f>'New Hire'!P6</f>
        <v>91999914</v>
      </c>
      <c r="P8" s="732"/>
      <c r="Q8" s="349" t="s">
        <v>515</v>
      </c>
      <c r="R8" s="349" t="s">
        <v>518</v>
      </c>
      <c r="S8" s="349" t="s">
        <v>520</v>
      </c>
      <c r="T8" s="349" t="s">
        <v>522</v>
      </c>
      <c r="U8" s="349" t="s">
        <v>524</v>
      </c>
      <c r="V8" s="47"/>
      <c r="W8" s="48"/>
      <c r="X8" s="20"/>
      <c r="Y8" s="20"/>
      <c r="Z8" s="20"/>
      <c r="AA8" s="20"/>
      <c r="AB8" s="20"/>
      <c r="AC8" s="15"/>
    </row>
    <row r="9" spans="1:29" ht="12.75" customHeight="1">
      <c r="A9" s="411" t="s">
        <v>63</v>
      </c>
      <c r="B9" s="23"/>
      <c r="C9" s="19"/>
      <c r="D9" s="19"/>
      <c r="E9" s="20"/>
      <c r="F9" s="19"/>
      <c r="G9" s="19"/>
      <c r="H9" s="21"/>
      <c r="I9" s="19"/>
      <c r="J9" s="19"/>
      <c r="K9" s="20"/>
      <c r="L9" s="20"/>
      <c r="M9" s="20"/>
      <c r="N9" s="20"/>
      <c r="O9" s="15"/>
      <c r="P9" s="15"/>
      <c r="Q9" s="20"/>
      <c r="R9" s="20"/>
      <c r="S9" s="20"/>
      <c r="T9" s="20"/>
      <c r="U9" s="20"/>
      <c r="V9" s="25"/>
      <c r="W9" s="26"/>
      <c r="X9" s="722" t="s">
        <v>608</v>
      </c>
      <c r="Y9" s="723"/>
      <c r="Z9" s="723"/>
      <c r="AA9" s="724"/>
      <c r="AB9" s="27"/>
      <c r="AC9" s="18"/>
    </row>
    <row r="10" spans="1:29">
      <c r="A10" s="424" t="s">
        <v>480</v>
      </c>
      <c r="B10" s="385">
        <v>43678</v>
      </c>
      <c r="C10" s="385">
        <v>43678</v>
      </c>
      <c r="D10" s="385"/>
      <c r="E10" s="385">
        <v>43678</v>
      </c>
      <c r="F10" s="385">
        <v>43678</v>
      </c>
      <c r="G10" s="385">
        <v>43678</v>
      </c>
      <c r="H10" s="385">
        <v>43678</v>
      </c>
      <c r="I10" s="385">
        <v>43678</v>
      </c>
      <c r="J10" s="385">
        <v>43678</v>
      </c>
      <c r="K10" s="385">
        <v>43678</v>
      </c>
      <c r="L10" s="385">
        <v>43678</v>
      </c>
      <c r="M10" s="385">
        <v>43678</v>
      </c>
      <c r="N10" s="385">
        <v>43678</v>
      </c>
      <c r="O10" s="385">
        <v>43678</v>
      </c>
      <c r="P10" s="15"/>
      <c r="Q10" s="20"/>
      <c r="R10" s="20"/>
      <c r="S10" s="20"/>
      <c r="T10" s="20"/>
      <c r="U10" s="20"/>
      <c r="V10" s="28"/>
      <c r="W10" s="29"/>
      <c r="X10" s="725"/>
      <c r="Y10" s="726"/>
      <c r="Z10" s="726"/>
      <c r="AA10" s="727"/>
      <c r="AB10" s="30"/>
      <c r="AC10" s="15"/>
    </row>
    <row r="11" spans="1:29" ht="12.75" customHeight="1">
      <c r="A11" s="99" t="s">
        <v>491</v>
      </c>
      <c r="B11" s="387" t="str">
        <f>'New Hire'!C10</f>
        <v>1</v>
      </c>
      <c r="C11" s="388" t="str">
        <f>'New Hire'!D10</f>
        <v>P</v>
      </c>
      <c r="D11" s="388" t="str">
        <f>'New Hire'!E10</f>
        <v>3</v>
      </c>
      <c r="E11" s="388" t="s">
        <v>964</v>
      </c>
      <c r="F11" s="388">
        <f>'New Hire'!G10</f>
        <v>4</v>
      </c>
      <c r="G11" s="388" t="str">
        <f>'New Hire'!H10</f>
        <v>C</v>
      </c>
      <c r="H11" s="388" t="str">
        <f>'New Hire'!I10</f>
        <v>I</v>
      </c>
      <c r="I11" s="388" t="str">
        <f>'New Hire'!J10</f>
        <v>S</v>
      </c>
      <c r="J11" s="388" t="str">
        <f>'New Hire'!K10</f>
        <v>P</v>
      </c>
      <c r="K11" s="388" t="str">
        <f>'New Hire'!L10</f>
        <v>1</v>
      </c>
      <c r="L11" s="388" t="str">
        <f>'New Hire'!M10</f>
        <v>1</v>
      </c>
      <c r="M11" s="388">
        <f>'New Hire'!N10</f>
        <v>3</v>
      </c>
      <c r="N11" s="388">
        <f>'New Hire'!O10</f>
        <v>3</v>
      </c>
      <c r="O11" s="653" t="str">
        <f>'New Hire'!P10</f>
        <v>C</v>
      </c>
      <c r="P11" s="15"/>
      <c r="Q11" s="20"/>
      <c r="R11" s="20"/>
      <c r="S11" s="20"/>
      <c r="T11" s="20"/>
      <c r="U11" s="20"/>
      <c r="V11" s="32"/>
      <c r="W11" s="20"/>
      <c r="X11" s="725"/>
      <c r="Y11" s="726"/>
      <c r="Z11" s="726"/>
      <c r="AA11" s="727"/>
      <c r="AB11" s="20"/>
      <c r="AC11" s="15"/>
    </row>
    <row r="12" spans="1:29" ht="12.75" customHeight="1">
      <c r="A12" s="99" t="s">
        <v>492</v>
      </c>
      <c r="B12" s="390" t="str">
        <f>'New Hire'!C11</f>
        <v>;P</v>
      </c>
      <c r="C12" s="391" t="str">
        <f>'New Hire'!D11</f>
        <v>;A</v>
      </c>
      <c r="D12" s="391" t="str">
        <f>'New Hire'!E11</f>
        <v>;E</v>
      </c>
      <c r="E12" s="391" t="str">
        <f>'New Hire'!F11</f>
        <v>;I</v>
      </c>
      <c r="F12" s="391" t="str">
        <f>'New Hire'!G11</f>
        <v>;P</v>
      </c>
      <c r="G12" s="391" t="str">
        <f>'New Hire'!H11</f>
        <v>;A</v>
      </c>
      <c r="H12" s="391" t="str">
        <f>'New Hire'!I11</f>
        <v>;A</v>
      </c>
      <c r="I12" s="391" t="str">
        <f>'New Hire'!J11</f>
        <v>;V</v>
      </c>
      <c r="J12" s="391" t="str">
        <f>'New Hire'!K11</f>
        <v>;P</v>
      </c>
      <c r="K12" s="391" t="str">
        <f>'New Hire'!L11</f>
        <v>;A</v>
      </c>
      <c r="L12" s="391" t="str">
        <f>'New Hire'!M11</f>
        <v>;I</v>
      </c>
      <c r="M12" s="391" t="str">
        <f>'New Hire'!N11</f>
        <v>;P</v>
      </c>
      <c r="N12" s="391" t="str">
        <f>'New Hire'!O11</f>
        <v>;I</v>
      </c>
      <c r="O12" s="392" t="str">
        <f>'New Hire'!P11</f>
        <v>;I</v>
      </c>
      <c r="P12" s="15"/>
      <c r="Q12" s="20"/>
      <c r="R12" s="20"/>
      <c r="S12" s="20"/>
      <c r="T12" s="20"/>
      <c r="U12" s="20"/>
      <c r="V12" s="32"/>
      <c r="W12" s="20"/>
      <c r="X12" s="728"/>
      <c r="Y12" s="729"/>
      <c r="Z12" s="729"/>
      <c r="AA12" s="730"/>
      <c r="AB12" s="20"/>
      <c r="AC12" s="15"/>
    </row>
    <row r="13" spans="1:29">
      <c r="A13" s="100" t="s">
        <v>477</v>
      </c>
      <c r="B13" s="394">
        <f>'New Hire'!C26</f>
        <v>100</v>
      </c>
      <c r="C13" s="338">
        <f>'New Hire'!D26</f>
        <v>50</v>
      </c>
      <c r="D13" s="338"/>
      <c r="E13" s="338">
        <f>'New Hire'!F26</f>
        <v>100</v>
      </c>
      <c r="F13" s="338">
        <f>'New Hire'!G26</f>
        <v>100</v>
      </c>
      <c r="G13" s="338">
        <f>'New Hire'!H26</f>
        <v>100</v>
      </c>
      <c r="H13" s="338">
        <f>'New Hire'!I26</f>
        <v>50</v>
      </c>
      <c r="I13" s="338">
        <f>'New Hire'!J26</f>
        <v>100</v>
      </c>
      <c r="J13" s="338">
        <f>'New Hire'!K26</f>
        <v>50</v>
      </c>
      <c r="K13" s="338">
        <f>'New Hire'!L26</f>
        <v>100</v>
      </c>
      <c r="L13" s="338">
        <f>'New Hire'!M26</f>
        <v>100</v>
      </c>
      <c r="M13" s="338">
        <f>'New Hire'!N26</f>
        <v>100</v>
      </c>
      <c r="N13" s="338">
        <f>'New Hire'!O26</f>
        <v>100</v>
      </c>
      <c r="O13" s="395">
        <f>'New Hire'!P26</f>
        <v>100</v>
      </c>
      <c r="P13" s="15"/>
      <c r="Q13" s="20"/>
      <c r="R13" s="20"/>
      <c r="S13" s="20"/>
      <c r="T13" s="20"/>
      <c r="U13" s="20"/>
      <c r="V13" s="23"/>
      <c r="W13" s="19"/>
      <c r="X13" s="19"/>
      <c r="Y13" s="19"/>
      <c r="Z13" s="19"/>
      <c r="AA13" s="19"/>
      <c r="AB13" s="19"/>
      <c r="AC13" s="31"/>
    </row>
    <row r="14" spans="1:29">
      <c r="A14" s="424" t="s">
        <v>481</v>
      </c>
      <c r="B14" s="338">
        <f t="shared" ref="B14:O14" si="0">NETWORKDAYS(B10,$A$6)</f>
        <v>22</v>
      </c>
      <c r="C14" s="338">
        <f t="shared" si="0"/>
        <v>22</v>
      </c>
      <c r="D14" s="338"/>
      <c r="E14" s="338">
        <f t="shared" si="0"/>
        <v>22</v>
      </c>
      <c r="F14" s="338">
        <f t="shared" si="0"/>
        <v>22</v>
      </c>
      <c r="G14" s="338">
        <f t="shared" si="0"/>
        <v>22</v>
      </c>
      <c r="H14" s="338">
        <f t="shared" si="0"/>
        <v>22</v>
      </c>
      <c r="I14" s="338">
        <f t="shared" si="0"/>
        <v>22</v>
      </c>
      <c r="J14" s="338">
        <f t="shared" si="0"/>
        <v>22</v>
      </c>
      <c r="K14" s="338">
        <f t="shared" si="0"/>
        <v>22</v>
      </c>
      <c r="L14" s="338">
        <f t="shared" si="0"/>
        <v>22</v>
      </c>
      <c r="M14" s="338">
        <f t="shared" si="0"/>
        <v>22</v>
      </c>
      <c r="N14" s="338">
        <f t="shared" si="0"/>
        <v>22</v>
      </c>
      <c r="O14" s="395">
        <f t="shared" si="0"/>
        <v>22</v>
      </c>
      <c r="P14" s="15"/>
      <c r="Q14" s="20"/>
      <c r="R14" s="20"/>
      <c r="S14" s="20"/>
      <c r="T14" s="20"/>
      <c r="U14" s="20"/>
      <c r="V14" s="23"/>
      <c r="W14" s="19"/>
      <c r="X14" s="19"/>
      <c r="Y14" s="19"/>
      <c r="Z14" s="19"/>
      <c r="AA14" s="19"/>
      <c r="AB14" s="19"/>
      <c r="AC14" s="31"/>
    </row>
    <row r="15" spans="1:29">
      <c r="A15" s="424" t="s">
        <v>639</v>
      </c>
      <c r="B15" s="338">
        <f>NETWORKDAYS(EOMONTH($A$6,-1)+1,EOMONTH($A$6,0))</f>
        <v>22</v>
      </c>
      <c r="C15" s="338">
        <f t="shared" ref="C15:O15" si="1">NETWORKDAYS(EOMONTH($A$6,-1)+1,EOMONTH($A$6,0))</f>
        <v>22</v>
      </c>
      <c r="D15" s="338"/>
      <c r="E15" s="338">
        <f t="shared" si="1"/>
        <v>22</v>
      </c>
      <c r="F15" s="338">
        <f t="shared" si="1"/>
        <v>22</v>
      </c>
      <c r="G15" s="338">
        <f t="shared" si="1"/>
        <v>22</v>
      </c>
      <c r="H15" s="338">
        <f t="shared" si="1"/>
        <v>22</v>
      </c>
      <c r="I15" s="338">
        <f t="shared" si="1"/>
        <v>22</v>
      </c>
      <c r="J15" s="338">
        <f t="shared" si="1"/>
        <v>22</v>
      </c>
      <c r="K15" s="338">
        <f t="shared" si="1"/>
        <v>22</v>
      </c>
      <c r="L15" s="338">
        <f t="shared" si="1"/>
        <v>22</v>
      </c>
      <c r="M15" s="338">
        <f t="shared" si="1"/>
        <v>22</v>
      </c>
      <c r="N15" s="338">
        <f t="shared" si="1"/>
        <v>22</v>
      </c>
      <c r="O15" s="395">
        <f t="shared" si="1"/>
        <v>22</v>
      </c>
      <c r="P15" s="15"/>
      <c r="Q15" s="20"/>
      <c r="R15" s="20"/>
      <c r="S15" s="20"/>
      <c r="T15" s="20"/>
      <c r="U15" s="20"/>
      <c r="V15" s="23"/>
      <c r="W15" s="19"/>
      <c r="X15" s="19"/>
      <c r="Y15" s="19"/>
      <c r="Z15" s="19"/>
      <c r="AA15" s="19"/>
      <c r="AB15" s="19"/>
      <c r="AC15" s="31"/>
    </row>
    <row r="16" spans="1:29">
      <c r="A16" s="424" t="s">
        <v>513</v>
      </c>
      <c r="B16" s="335">
        <f t="shared" ref="B16:O16" si="2">_xlfn.DAYS($A$6,B10)+1</f>
        <v>31</v>
      </c>
      <c r="C16" s="335">
        <f t="shared" si="2"/>
        <v>31</v>
      </c>
      <c r="D16" s="335"/>
      <c r="E16" s="335">
        <f t="shared" si="2"/>
        <v>31</v>
      </c>
      <c r="F16" s="335">
        <f t="shared" si="2"/>
        <v>31</v>
      </c>
      <c r="G16" s="335">
        <f t="shared" si="2"/>
        <v>31</v>
      </c>
      <c r="H16" s="335">
        <f t="shared" si="2"/>
        <v>31</v>
      </c>
      <c r="I16" s="335">
        <f t="shared" si="2"/>
        <v>31</v>
      </c>
      <c r="J16" s="335">
        <f t="shared" si="2"/>
        <v>31</v>
      </c>
      <c r="K16" s="335">
        <f t="shared" si="2"/>
        <v>31</v>
      </c>
      <c r="L16" s="335">
        <f t="shared" si="2"/>
        <v>31</v>
      </c>
      <c r="M16" s="335">
        <f t="shared" si="2"/>
        <v>31</v>
      </c>
      <c r="N16" s="335">
        <f t="shared" si="2"/>
        <v>31</v>
      </c>
      <c r="O16" s="397">
        <f t="shared" si="2"/>
        <v>31</v>
      </c>
      <c r="P16" s="15"/>
      <c r="Q16" s="20"/>
      <c r="R16" s="20"/>
      <c r="S16" s="20"/>
      <c r="T16" s="20"/>
      <c r="U16" s="20"/>
      <c r="V16" s="23"/>
      <c r="W16" s="19"/>
      <c r="X16" s="19"/>
      <c r="Y16" s="19"/>
      <c r="Z16" s="19"/>
      <c r="AA16" s="19"/>
      <c r="AB16" s="19"/>
      <c r="AC16" s="31"/>
    </row>
    <row r="17" spans="1:29">
      <c r="A17" s="99" t="s">
        <v>533</v>
      </c>
      <c r="B17" s="336">
        <f>DATEDIF('New Hire'!C41,$A$6,"Y")</f>
        <v>9</v>
      </c>
      <c r="C17" s="337">
        <f>DATEDIF('New Hire'!D41,$A$6,"Y")</f>
        <v>13</v>
      </c>
      <c r="D17" s="337">
        <f>DATEDIF('New Hire'!E41,$A$6,"Y")</f>
        <v>0</v>
      </c>
      <c r="E17" s="337">
        <f>DATEDIF('New Hire'!F41,$A$6,"Y")</f>
        <v>4</v>
      </c>
      <c r="F17" s="337">
        <f>DATEDIF('New Hire'!G41,$A$6,"Y")</f>
        <v>9</v>
      </c>
      <c r="G17" s="337">
        <f>DATEDIF('New Hire'!H41,$A$6,"Y")</f>
        <v>0</v>
      </c>
      <c r="H17" s="337">
        <f>DATEDIF('New Hire'!I41,$A$6,"Y")</f>
        <v>14</v>
      </c>
      <c r="I17" s="337">
        <f>DATEDIF('New Hire'!J41,$A$6,"Y")</f>
        <v>0</v>
      </c>
      <c r="J17" s="337">
        <f>DATEDIF('New Hire'!K41,$A$6,"Y")</f>
        <v>0</v>
      </c>
      <c r="K17" s="337">
        <f>DATEDIF('New Hire'!L41,$A$6,"Y")</f>
        <v>9</v>
      </c>
      <c r="L17" s="337">
        <f>DATEDIF('New Hire'!M41,$A$6,"Y")</f>
        <v>4</v>
      </c>
      <c r="M17" s="337">
        <f>DATEDIF('New Hire'!N41,$A$6,"Y")</f>
        <v>0</v>
      </c>
      <c r="N17" s="337">
        <f>DATEDIF('New Hire'!O41,$A$6,"Y")</f>
        <v>11</v>
      </c>
      <c r="O17" s="393">
        <f>DATEDIF('New Hire'!P41,$A$6,"Y")</f>
        <v>0</v>
      </c>
      <c r="P17" s="15"/>
      <c r="Q17" s="20"/>
      <c r="R17" s="20"/>
      <c r="S17" s="20"/>
      <c r="T17" s="20"/>
      <c r="U17" s="20"/>
      <c r="V17" s="23"/>
      <c r="W17" s="19"/>
      <c r="X17" s="19"/>
      <c r="Y17" s="19"/>
      <c r="Z17" s="19"/>
      <c r="AA17" s="19"/>
      <c r="AB17" s="19"/>
      <c r="AC17" s="31"/>
    </row>
    <row r="18" spans="1:29">
      <c r="A18" s="99" t="s">
        <v>566</v>
      </c>
      <c r="B18" s="336" t="str">
        <f>'New Hire'!C54</f>
        <v>A</v>
      </c>
      <c r="C18" s="337" t="str">
        <f>'New Hire'!D54</f>
        <v>A</v>
      </c>
      <c r="D18" s="337" t="str">
        <f>'New Hire'!E54</f>
        <v>A</v>
      </c>
      <c r="E18" s="337" t="str">
        <f>'New Hire'!F54</f>
        <v>B</v>
      </c>
      <c r="F18" s="337" t="str">
        <f>'New Hire'!G54</f>
        <v>B</v>
      </c>
      <c r="G18" s="337" t="str">
        <f>'New Hire'!H54</f>
        <v>C</v>
      </c>
      <c r="H18" s="337" t="str">
        <f>'New Hire'!I54</f>
        <v>D</v>
      </c>
      <c r="I18" s="337" t="str">
        <f>'New Hire'!J54</f>
        <v>D</v>
      </c>
      <c r="J18" s="337" t="str">
        <f>'New Hire'!K54</f>
        <v>A</v>
      </c>
      <c r="K18" s="337" t="str">
        <f>'New Hire'!L54</f>
        <v>A</v>
      </c>
      <c r="L18" s="337" t="str">
        <f>'New Hire'!M54</f>
        <v>A</v>
      </c>
      <c r="M18" s="337" t="str">
        <f>'New Hire'!N54</f>
        <v>A</v>
      </c>
      <c r="N18" s="337" t="str">
        <f>'New Hire'!O54</f>
        <v>A</v>
      </c>
      <c r="O18" s="393" t="str">
        <f>'New Hire'!P54</f>
        <v>B</v>
      </c>
      <c r="P18" s="15"/>
      <c r="Q18" s="20"/>
      <c r="R18" s="20"/>
      <c r="S18" s="20"/>
      <c r="T18" s="20"/>
      <c r="U18" s="20"/>
      <c r="V18" s="23"/>
      <c r="W18" s="19"/>
      <c r="X18" s="19"/>
      <c r="Y18" s="19"/>
      <c r="Z18" s="19"/>
      <c r="AA18" s="19"/>
      <c r="AB18" s="19"/>
      <c r="AC18" s="31"/>
    </row>
    <row r="19" spans="1:29">
      <c r="A19" s="98" t="s">
        <v>107</v>
      </c>
      <c r="B19" s="91">
        <v>1</v>
      </c>
      <c r="C19" s="89">
        <v>2</v>
      </c>
      <c r="D19" s="89"/>
      <c r="E19" s="89">
        <v>3</v>
      </c>
      <c r="F19" s="89">
        <v>0</v>
      </c>
      <c r="G19" s="89">
        <v>0</v>
      </c>
      <c r="H19" s="89">
        <v>2</v>
      </c>
      <c r="I19" s="89">
        <v>0</v>
      </c>
      <c r="J19" s="89">
        <v>0</v>
      </c>
      <c r="K19" s="89">
        <v>0</v>
      </c>
      <c r="L19" s="89">
        <v>0</v>
      </c>
      <c r="M19" s="89">
        <v>0</v>
      </c>
      <c r="N19" s="89">
        <v>0</v>
      </c>
      <c r="O19" s="398">
        <v>0</v>
      </c>
      <c r="P19" s="15"/>
      <c r="Q19" s="20"/>
      <c r="R19" s="20"/>
      <c r="S19" s="20"/>
      <c r="T19" s="20"/>
      <c r="U19" s="20"/>
      <c r="V19" s="23"/>
      <c r="W19" s="19"/>
      <c r="X19" s="19"/>
      <c r="Y19" s="19"/>
      <c r="Z19" s="19"/>
      <c r="AA19" s="19"/>
      <c r="AB19" s="19"/>
      <c r="AC19" s="31"/>
    </row>
    <row r="20" spans="1:29">
      <c r="A20" s="97" t="s">
        <v>113</v>
      </c>
      <c r="B20" s="325">
        <f>3600000*B19</f>
        <v>3600000</v>
      </c>
      <c r="C20" s="90">
        <f t="shared" ref="C20:O20" si="3">3600000*C19</f>
        <v>7200000</v>
      </c>
      <c r="D20" s="90"/>
      <c r="E20" s="90">
        <f t="shared" si="3"/>
        <v>10800000</v>
      </c>
      <c r="F20" s="90">
        <f t="shared" si="3"/>
        <v>0</v>
      </c>
      <c r="G20" s="90">
        <f t="shared" si="3"/>
        <v>0</v>
      </c>
      <c r="H20" s="90">
        <f t="shared" si="3"/>
        <v>7200000</v>
      </c>
      <c r="I20" s="90">
        <f t="shared" si="3"/>
        <v>0</v>
      </c>
      <c r="J20" s="90">
        <f t="shared" si="3"/>
        <v>0</v>
      </c>
      <c r="K20" s="90">
        <f t="shared" si="3"/>
        <v>0</v>
      </c>
      <c r="L20" s="90">
        <f t="shared" si="3"/>
        <v>0</v>
      </c>
      <c r="M20" s="90">
        <f t="shared" si="3"/>
        <v>0</v>
      </c>
      <c r="N20" s="90">
        <f t="shared" si="3"/>
        <v>0</v>
      </c>
      <c r="O20" s="399">
        <f t="shared" si="3"/>
        <v>0</v>
      </c>
      <c r="P20" s="15"/>
      <c r="Q20" s="20"/>
      <c r="R20" s="20"/>
      <c r="S20" s="20"/>
      <c r="T20" s="20"/>
      <c r="U20" s="20"/>
      <c r="V20" s="23"/>
      <c r="W20" s="19"/>
      <c r="X20" s="19"/>
      <c r="Y20" s="19"/>
      <c r="Z20" s="19"/>
      <c r="AA20" s="19"/>
      <c r="AB20" s="19"/>
      <c r="AC20" s="31"/>
    </row>
    <row r="21" spans="1:29">
      <c r="A21" s="97" t="s">
        <v>114</v>
      </c>
      <c r="B21" s="326">
        <v>9000000</v>
      </c>
      <c r="C21" s="90">
        <v>9000000</v>
      </c>
      <c r="D21" s="90"/>
      <c r="E21" s="90">
        <v>9000000</v>
      </c>
      <c r="F21" s="90">
        <v>9000000</v>
      </c>
      <c r="G21" s="90">
        <v>9000000</v>
      </c>
      <c r="H21" s="90">
        <v>9000000</v>
      </c>
      <c r="I21" s="90">
        <v>9000000</v>
      </c>
      <c r="J21" s="90">
        <v>9000000</v>
      </c>
      <c r="K21" s="90">
        <v>9000000</v>
      </c>
      <c r="L21" s="90">
        <v>9000000</v>
      </c>
      <c r="M21" s="90">
        <v>9000000</v>
      </c>
      <c r="N21" s="90">
        <v>9000000</v>
      </c>
      <c r="O21" s="399">
        <v>9000000</v>
      </c>
      <c r="P21" s="15"/>
      <c r="Q21" s="66"/>
      <c r="R21" s="66"/>
      <c r="S21" s="66"/>
      <c r="T21" s="66"/>
      <c r="U21" s="66"/>
      <c r="V21" s="23"/>
      <c r="W21" s="19"/>
      <c r="X21" s="19"/>
      <c r="Y21" s="19"/>
      <c r="Z21" s="19"/>
      <c r="AA21" s="19"/>
      <c r="AB21" s="19"/>
      <c r="AC21" s="31"/>
    </row>
    <row r="22" spans="1:29" ht="15.6">
      <c r="A22" s="413" t="s">
        <v>53</v>
      </c>
      <c r="B22" s="64"/>
      <c r="C22" s="65"/>
      <c r="D22" s="65"/>
      <c r="E22" s="66"/>
      <c r="F22" s="65"/>
      <c r="G22" s="65"/>
      <c r="H22" s="21"/>
      <c r="I22" s="65"/>
      <c r="J22" s="65"/>
      <c r="K22" s="66"/>
      <c r="L22" s="66"/>
      <c r="M22" s="66"/>
      <c r="N22" s="66"/>
      <c r="O22" s="66"/>
      <c r="P22" s="343"/>
      <c r="Q22" s="66"/>
      <c r="R22" s="66"/>
      <c r="S22" s="66"/>
      <c r="T22" s="66"/>
      <c r="U22" s="66"/>
      <c r="V22" s="40"/>
      <c r="W22" s="41"/>
      <c r="X22" s="19"/>
      <c r="Y22" s="19"/>
      <c r="Z22" s="19"/>
      <c r="AA22" s="19"/>
      <c r="AB22" s="16"/>
      <c r="AC22" s="17"/>
    </row>
    <row r="23" spans="1:29">
      <c r="A23" s="414" t="s">
        <v>55</v>
      </c>
      <c r="B23" s="64"/>
      <c r="C23" s="65"/>
      <c r="D23" s="65"/>
      <c r="E23" s="66"/>
      <c r="F23" s="65"/>
      <c r="G23" s="65"/>
      <c r="H23" s="21"/>
      <c r="I23" s="65"/>
      <c r="J23" s="65"/>
      <c r="K23" s="66"/>
      <c r="L23" s="66"/>
      <c r="M23" s="66"/>
      <c r="N23" s="66"/>
      <c r="O23" s="382"/>
      <c r="P23" s="382"/>
      <c r="Q23" s="66"/>
      <c r="R23" s="66"/>
      <c r="S23" s="66"/>
      <c r="T23" s="66"/>
      <c r="U23" s="66"/>
      <c r="V23" s="50"/>
      <c r="W23" s="44"/>
      <c r="X23" s="44"/>
      <c r="Y23" s="44"/>
      <c r="Z23" s="44"/>
      <c r="AA23" s="44"/>
      <c r="AB23" s="44"/>
      <c r="AC23" s="51"/>
    </row>
    <row r="24" spans="1:29">
      <c r="A24" s="445" t="s">
        <v>479</v>
      </c>
      <c r="B24" s="332">
        <f>IF(OR(B18="A",B18="B"),IF(B11&lt;&gt;"C",ROUND(B122*B86,0),0),IF(B11&lt;&gt;"C",ROUND(B136*$B$4,0),0))</f>
        <v>7000000</v>
      </c>
      <c r="C24" s="332">
        <f>IF(OR(C18="A",C18="B"),IF(C11&lt;&gt;"C",ROUND(C122*C86,0),0),IF(C11&lt;&gt;"C",ROUND(C136*$B$4,0),0))</f>
        <v>6200000</v>
      </c>
      <c r="D24" s="332"/>
      <c r="E24" s="332">
        <f t="shared" ref="E24:O24" si="4">IF(OR(E18="A",E18="B"),IF(E11&lt;&gt;"C",ROUND(E122*E86,0),0),IF(E11&lt;&gt;"C",ROUND(E136*$B$4,0),0))</f>
        <v>11000000</v>
      </c>
      <c r="F24" s="332">
        <f t="shared" si="4"/>
        <v>16000000</v>
      </c>
      <c r="G24" s="332">
        <f t="shared" si="4"/>
        <v>0</v>
      </c>
      <c r="H24" s="332">
        <f t="shared" si="4"/>
        <v>120666000</v>
      </c>
      <c r="I24" s="332">
        <f t="shared" si="4"/>
        <v>90499500</v>
      </c>
      <c r="J24" s="332">
        <f t="shared" si="4"/>
        <v>55000000</v>
      </c>
      <c r="K24" s="332">
        <f t="shared" si="4"/>
        <v>10000000</v>
      </c>
      <c r="L24" s="332">
        <f t="shared" si="4"/>
        <v>11500000</v>
      </c>
      <c r="M24" s="332">
        <f t="shared" si="4"/>
        <v>7000000</v>
      </c>
      <c r="N24" s="332">
        <f t="shared" si="4"/>
        <v>8000000</v>
      </c>
      <c r="O24" s="332">
        <f t="shared" si="4"/>
        <v>0</v>
      </c>
      <c r="P24" s="355">
        <f t="shared" ref="P24:P27" si="5">SUM(B24:O24)</f>
        <v>342865500</v>
      </c>
      <c r="Q24" s="90" t="s">
        <v>525</v>
      </c>
      <c r="R24" s="90" t="s">
        <v>525</v>
      </c>
      <c r="S24" s="90" t="s">
        <v>525</v>
      </c>
      <c r="T24" s="90" t="s">
        <v>525</v>
      </c>
      <c r="U24" s="90" t="s">
        <v>525</v>
      </c>
      <c r="V24" s="118" t="s">
        <v>57</v>
      </c>
      <c r="W24" s="119" t="s">
        <v>67</v>
      </c>
      <c r="X24" s="119" t="s">
        <v>69</v>
      </c>
      <c r="Y24" s="119" t="s">
        <v>70</v>
      </c>
      <c r="Z24" s="119" t="s">
        <v>56</v>
      </c>
      <c r="AA24" s="119" t="s">
        <v>54</v>
      </c>
      <c r="AB24" s="119" t="s">
        <v>58</v>
      </c>
      <c r="AC24" s="120" t="s">
        <v>59</v>
      </c>
    </row>
    <row r="25" spans="1:29">
      <c r="A25" s="451" t="s">
        <v>496</v>
      </c>
      <c r="B25" s="332">
        <f>IF(OR(B18="A",B18="B"),ROUND(B124*B86,0),ROUND(B124*B86*$B$4,0))</f>
        <v>700000</v>
      </c>
      <c r="C25" s="332">
        <f>IF(OR(C18="A",C18="B"),ROUND(C124*C86,0),ROUND(C124*C86*$B$4,0))</f>
        <v>620000</v>
      </c>
      <c r="D25" s="332"/>
      <c r="E25" s="332">
        <f t="shared" ref="E25:O25" si="6">IF(OR(E18="A",E18="B"),ROUND(E124*E86,0),ROUND(E124*E86*$B$4,0))</f>
        <v>0</v>
      </c>
      <c r="F25" s="332">
        <f t="shared" si="6"/>
        <v>0</v>
      </c>
      <c r="G25" s="332">
        <f t="shared" si="6"/>
        <v>0</v>
      </c>
      <c r="H25" s="332">
        <f t="shared" si="6"/>
        <v>12762750</v>
      </c>
      <c r="I25" s="332">
        <f t="shared" si="6"/>
        <v>0</v>
      </c>
      <c r="J25" s="332">
        <f t="shared" si="6"/>
        <v>5500000</v>
      </c>
      <c r="K25" s="332">
        <f t="shared" si="6"/>
        <v>1000000</v>
      </c>
      <c r="L25" s="332">
        <f t="shared" si="6"/>
        <v>0</v>
      </c>
      <c r="M25" s="332">
        <f t="shared" si="6"/>
        <v>1400000</v>
      </c>
      <c r="N25" s="332">
        <f t="shared" si="6"/>
        <v>1200000</v>
      </c>
      <c r="O25" s="400">
        <f t="shared" si="6"/>
        <v>0</v>
      </c>
      <c r="P25" s="355">
        <f t="shared" si="5"/>
        <v>23182750</v>
      </c>
      <c r="Q25" s="379" t="s">
        <v>525</v>
      </c>
      <c r="R25" s="379" t="s">
        <v>525</v>
      </c>
      <c r="S25" s="379" t="s">
        <v>525</v>
      </c>
      <c r="T25" s="379" t="s">
        <v>525</v>
      </c>
      <c r="U25" s="90" t="s">
        <v>525</v>
      </c>
      <c r="V25" s="356" t="s">
        <v>2</v>
      </c>
      <c r="W25" s="357">
        <v>91999901</v>
      </c>
      <c r="X25" s="358" t="s">
        <v>507</v>
      </c>
      <c r="Y25" s="358" t="s">
        <v>508</v>
      </c>
      <c r="Z25" s="359" t="s">
        <v>509</v>
      </c>
      <c r="AA25" s="360">
        <v>8000000</v>
      </c>
      <c r="AB25" s="358"/>
      <c r="AC25" s="361"/>
    </row>
    <row r="26" spans="1:29">
      <c r="A26" s="451" t="s">
        <v>569</v>
      </c>
      <c r="B26" s="332">
        <f>IF(OR(B18="A",B18="B"),ROUND(B125*B86,0),ROUND(B125*B86*$B$4,0))</f>
        <v>1400000</v>
      </c>
      <c r="C26" s="332">
        <f>IF(OR(C18="A",C18="B"),ROUND(C125*C86,0),ROUND(C125*C86*$B$4,0))</f>
        <v>1240000</v>
      </c>
      <c r="D26" s="332"/>
      <c r="E26" s="332">
        <f t="shared" ref="E26:O26" si="7">IF(OR(E18="A",E18="B"),ROUND(E125*E86,0),ROUND(E125*E86*$B$4,0))</f>
        <v>0</v>
      </c>
      <c r="F26" s="332">
        <f t="shared" si="7"/>
        <v>0</v>
      </c>
      <c r="G26" s="332">
        <f t="shared" si="7"/>
        <v>0</v>
      </c>
      <c r="H26" s="332">
        <f t="shared" si="7"/>
        <v>25525500</v>
      </c>
      <c r="I26" s="332">
        <f t="shared" si="7"/>
        <v>0</v>
      </c>
      <c r="J26" s="332">
        <f t="shared" si="7"/>
        <v>11000000</v>
      </c>
      <c r="K26" s="332">
        <f t="shared" si="7"/>
        <v>2000000</v>
      </c>
      <c r="L26" s="332">
        <f t="shared" si="7"/>
        <v>0</v>
      </c>
      <c r="M26" s="332">
        <f t="shared" si="7"/>
        <v>2100000</v>
      </c>
      <c r="N26" s="332">
        <f t="shared" si="7"/>
        <v>1650000</v>
      </c>
      <c r="O26" s="400">
        <f t="shared" si="7"/>
        <v>0</v>
      </c>
      <c r="P26" s="355">
        <f t="shared" si="5"/>
        <v>44915500</v>
      </c>
      <c r="Q26" s="379" t="s">
        <v>525</v>
      </c>
      <c r="R26" s="379" t="s">
        <v>525</v>
      </c>
      <c r="S26" s="379" t="s">
        <v>525</v>
      </c>
      <c r="T26" s="379" t="s">
        <v>525</v>
      </c>
      <c r="U26" s="90" t="s">
        <v>525</v>
      </c>
      <c r="V26" s="356" t="s">
        <v>2</v>
      </c>
      <c r="W26" s="357">
        <v>91999902</v>
      </c>
      <c r="X26" s="358" t="s">
        <v>507</v>
      </c>
      <c r="Y26" s="358" t="s">
        <v>508</v>
      </c>
      <c r="Z26" s="359" t="s">
        <v>509</v>
      </c>
      <c r="AA26" s="360">
        <v>8000000</v>
      </c>
      <c r="AB26" s="358"/>
      <c r="AC26" s="361"/>
    </row>
    <row r="27" spans="1:29">
      <c r="A27" s="445" t="s">
        <v>427</v>
      </c>
      <c r="B27" s="332"/>
      <c r="C27" s="332"/>
      <c r="D27" s="332"/>
      <c r="E27" s="340"/>
      <c r="F27" s="332"/>
      <c r="G27" s="332">
        <f>ROUND(G123*B4,0)*AC95+ROUND(G123*B4,0)*AC96</f>
        <v>29006250</v>
      </c>
      <c r="H27" s="332"/>
      <c r="I27" s="332"/>
      <c r="J27" s="332"/>
      <c r="K27" s="340"/>
      <c r="L27" s="340"/>
      <c r="M27" s="340"/>
      <c r="N27" s="340"/>
      <c r="O27" s="401">
        <f>ROUND(O123*AC98,0)+ROUND(O123*AC99,0)</f>
        <v>4500000</v>
      </c>
      <c r="P27" s="355">
        <f t="shared" si="5"/>
        <v>33506250</v>
      </c>
      <c r="Q27" s="379" t="s">
        <v>525</v>
      </c>
      <c r="R27" s="379" t="s">
        <v>525</v>
      </c>
      <c r="S27" s="379"/>
      <c r="T27" s="379"/>
      <c r="U27" s="379"/>
      <c r="V27" s="356" t="s">
        <v>2</v>
      </c>
      <c r="W27" s="357">
        <v>91999904</v>
      </c>
      <c r="X27" s="358" t="s">
        <v>511</v>
      </c>
      <c r="Y27" s="358" t="s">
        <v>508</v>
      </c>
      <c r="Z27" s="359" t="s">
        <v>509</v>
      </c>
      <c r="AA27" s="360">
        <v>8000000</v>
      </c>
      <c r="AB27" s="358"/>
      <c r="AC27" s="361"/>
    </row>
    <row r="28" spans="1:29">
      <c r="A28" s="506" t="s">
        <v>710</v>
      </c>
      <c r="B28" s="510"/>
      <c r="C28" s="438"/>
      <c r="D28" s="438"/>
      <c r="E28" s="438"/>
      <c r="F28" s="438"/>
      <c r="G28" s="438"/>
      <c r="H28" s="438"/>
      <c r="I28" s="438"/>
      <c r="J28" s="438"/>
      <c r="K28" s="438"/>
      <c r="L28" s="438"/>
      <c r="M28" s="438">
        <f>M78+M79</f>
        <v>2423100</v>
      </c>
      <c r="N28" s="438"/>
      <c r="O28" s="511"/>
      <c r="P28" s="464">
        <f t="shared" ref="P28:P35" si="8">SUM(B28:O28)</f>
        <v>2423100</v>
      </c>
      <c r="Q28" s="446" t="s">
        <v>525</v>
      </c>
      <c r="R28" s="446" t="s">
        <v>525</v>
      </c>
      <c r="S28" s="435"/>
      <c r="T28" s="435"/>
      <c r="U28" s="435"/>
      <c r="V28" s="356" t="s">
        <v>2</v>
      </c>
      <c r="W28" s="357">
        <v>91999905</v>
      </c>
      <c r="X28" s="358" t="s">
        <v>507</v>
      </c>
      <c r="Y28" s="358" t="s">
        <v>508</v>
      </c>
      <c r="Z28" s="359" t="s">
        <v>509</v>
      </c>
      <c r="AA28" s="360">
        <v>8000000</v>
      </c>
      <c r="AB28" s="358"/>
      <c r="AC28" s="361"/>
    </row>
    <row r="29" spans="1:29">
      <c r="A29" s="423" t="s">
        <v>495</v>
      </c>
      <c r="B29" s="452">
        <f>ROUND(B126*B86,0)</f>
        <v>3000000</v>
      </c>
      <c r="C29" s="452">
        <f>ROUND(C126*C86,0)</f>
        <v>3000000</v>
      </c>
      <c r="D29" s="452"/>
      <c r="E29" s="452">
        <f t="shared" ref="E29:O29" si="9">ROUND(E126*E86,0)</f>
        <v>3000000</v>
      </c>
      <c r="F29" s="452">
        <f t="shared" si="9"/>
        <v>3000000</v>
      </c>
      <c r="G29" s="452">
        <f t="shared" si="9"/>
        <v>0</v>
      </c>
      <c r="H29" s="452">
        <f t="shared" si="9"/>
        <v>0</v>
      </c>
      <c r="I29" s="452">
        <f t="shared" si="9"/>
        <v>0</v>
      </c>
      <c r="J29" s="452">
        <f t="shared" si="9"/>
        <v>3000000</v>
      </c>
      <c r="K29" s="452">
        <f t="shared" si="9"/>
        <v>3000000</v>
      </c>
      <c r="L29" s="452">
        <f t="shared" si="9"/>
        <v>3000000</v>
      </c>
      <c r="M29" s="452">
        <f t="shared" si="9"/>
        <v>3000000</v>
      </c>
      <c r="N29" s="452">
        <f t="shared" si="9"/>
        <v>3000000</v>
      </c>
      <c r="O29" s="401">
        <f t="shared" si="9"/>
        <v>0</v>
      </c>
      <c r="P29" s="542">
        <f t="shared" si="8"/>
        <v>27000000</v>
      </c>
      <c r="Q29" s="379" t="s">
        <v>527</v>
      </c>
      <c r="R29" s="379" t="s">
        <v>568</v>
      </c>
      <c r="S29" s="379"/>
      <c r="T29" s="379"/>
      <c r="U29" s="379"/>
      <c r="V29" s="356" t="s">
        <v>2</v>
      </c>
      <c r="W29" s="357">
        <v>91999906</v>
      </c>
      <c r="X29" s="358" t="s">
        <v>507</v>
      </c>
      <c r="Y29" s="358" t="s">
        <v>508</v>
      </c>
      <c r="Z29" s="359" t="s">
        <v>509</v>
      </c>
      <c r="AA29" s="360">
        <v>8000000</v>
      </c>
      <c r="AB29" s="358"/>
      <c r="AC29" s="361"/>
    </row>
    <row r="30" spans="1:29">
      <c r="A30" s="412" t="s">
        <v>530</v>
      </c>
      <c r="B30" s="452">
        <f>IF(OR(B18="A",B18="B"),ROUND(B127*B86,0),ROUND(B127*$B$4*B86,0))</f>
        <v>3500000</v>
      </c>
      <c r="C30" s="452">
        <f>IF(OR(C18="A",C18="B"),ROUND(C127*C86,0),ROUND(C127*$B$4*C86,0))</f>
        <v>3500000</v>
      </c>
      <c r="D30" s="452"/>
      <c r="E30" s="452">
        <f t="shared" ref="E30:O30" si="10">IF(OR(E18="A",E18="B"),ROUND(E127*E86,0),ROUND(E127*$B$4*E86,0))</f>
        <v>3500000</v>
      </c>
      <c r="F30" s="452">
        <f t="shared" si="10"/>
        <v>3500000</v>
      </c>
      <c r="G30" s="452">
        <f t="shared" si="10"/>
        <v>0</v>
      </c>
      <c r="H30" s="452">
        <f t="shared" si="10"/>
        <v>4641000</v>
      </c>
      <c r="I30" s="452">
        <f t="shared" si="10"/>
        <v>4641000</v>
      </c>
      <c r="J30" s="452">
        <f t="shared" si="10"/>
        <v>3500000</v>
      </c>
      <c r="K30" s="452">
        <f t="shared" si="10"/>
        <v>3500000</v>
      </c>
      <c r="L30" s="452">
        <f t="shared" si="10"/>
        <v>3500000</v>
      </c>
      <c r="M30" s="452">
        <f t="shared" si="10"/>
        <v>3500000</v>
      </c>
      <c r="N30" s="452">
        <f t="shared" si="10"/>
        <v>3500000</v>
      </c>
      <c r="O30" s="401">
        <f t="shared" si="10"/>
        <v>0</v>
      </c>
      <c r="P30" s="542">
        <f t="shared" si="8"/>
        <v>40782000</v>
      </c>
      <c r="Q30" s="90" t="s">
        <v>525</v>
      </c>
      <c r="R30" s="90" t="s">
        <v>525</v>
      </c>
      <c r="S30" s="90" t="s">
        <v>525</v>
      </c>
      <c r="T30" s="90" t="s">
        <v>525</v>
      </c>
      <c r="U30" s="90" t="s">
        <v>525</v>
      </c>
      <c r="V30" s="356" t="s">
        <v>2</v>
      </c>
      <c r="W30" s="357">
        <v>91999901</v>
      </c>
      <c r="X30" s="358" t="s">
        <v>507</v>
      </c>
      <c r="Y30" s="358" t="s">
        <v>508</v>
      </c>
      <c r="Z30" s="359" t="s">
        <v>537</v>
      </c>
      <c r="AA30" s="360">
        <v>7000000</v>
      </c>
      <c r="AB30" s="358"/>
      <c r="AC30" s="361"/>
    </row>
    <row r="31" spans="1:29">
      <c r="A31" s="415" t="s">
        <v>499</v>
      </c>
      <c r="B31" s="452">
        <f>IF(OR(B18="A",B18="B"),ROUND(B130*B86,0),ROUND(B130*$B$4*B86,0))</f>
        <v>4000000</v>
      </c>
      <c r="C31" s="452">
        <f>IF(OR(C18="A",C18="B"),ROUND(C130*C86,0),ROUND(C130*$B$4*C86,0))</f>
        <v>4000000</v>
      </c>
      <c r="D31" s="452"/>
      <c r="E31" s="452">
        <f t="shared" ref="E31:O31" si="11">IF(OR(E18="A",E18="B"),ROUND(E130*E86,0),ROUND(E130*$B$4*E86,0))</f>
        <v>4000000</v>
      </c>
      <c r="F31" s="452">
        <f t="shared" si="11"/>
        <v>4000000</v>
      </c>
      <c r="G31" s="452">
        <f t="shared" si="11"/>
        <v>0</v>
      </c>
      <c r="H31" s="452">
        <f t="shared" si="11"/>
        <v>5221125</v>
      </c>
      <c r="I31" s="452">
        <f t="shared" si="11"/>
        <v>5221125</v>
      </c>
      <c r="J31" s="452">
        <f t="shared" si="11"/>
        <v>4000000</v>
      </c>
      <c r="K31" s="452">
        <f t="shared" si="11"/>
        <v>4000000</v>
      </c>
      <c r="L31" s="452">
        <f t="shared" si="11"/>
        <v>4000000</v>
      </c>
      <c r="M31" s="452">
        <f t="shared" si="11"/>
        <v>4000000</v>
      </c>
      <c r="N31" s="452">
        <f t="shared" si="11"/>
        <v>4000000</v>
      </c>
      <c r="O31" s="401">
        <f t="shared" si="11"/>
        <v>0</v>
      </c>
      <c r="P31" s="542">
        <f t="shared" si="8"/>
        <v>46442250</v>
      </c>
      <c r="Q31" s="379" t="s">
        <v>527</v>
      </c>
      <c r="R31" s="379" t="s">
        <v>568</v>
      </c>
      <c r="S31" s="379"/>
      <c r="T31" s="379"/>
      <c r="U31" s="379"/>
      <c r="V31" s="356" t="s">
        <v>2</v>
      </c>
      <c r="W31" s="357">
        <v>91999902</v>
      </c>
      <c r="X31" s="358" t="s">
        <v>507</v>
      </c>
      <c r="Y31" s="358" t="s">
        <v>508</v>
      </c>
      <c r="Z31" s="359" t="s">
        <v>537</v>
      </c>
      <c r="AA31" s="360">
        <v>7000000</v>
      </c>
      <c r="AB31" s="358"/>
      <c r="AC31" s="361"/>
    </row>
    <row r="32" spans="1:29">
      <c r="A32" s="415"/>
      <c r="B32" s="452"/>
      <c r="C32" s="452"/>
      <c r="D32" s="452"/>
      <c r="E32" s="452"/>
      <c r="F32" s="452"/>
      <c r="G32" s="452"/>
      <c r="H32" s="452"/>
      <c r="I32" s="452"/>
      <c r="J32" s="452"/>
      <c r="K32" s="452"/>
      <c r="L32" s="452"/>
      <c r="M32" s="452"/>
      <c r="N32" s="452"/>
      <c r="O32" s="401"/>
      <c r="P32" s="542"/>
      <c r="Q32" s="543"/>
      <c r="R32" s="379"/>
      <c r="S32" s="379"/>
      <c r="T32" s="379"/>
      <c r="U32" s="379"/>
      <c r="V32" s="356" t="s">
        <v>2</v>
      </c>
      <c r="W32" s="357">
        <v>91999904</v>
      </c>
      <c r="X32" s="358" t="s">
        <v>511</v>
      </c>
      <c r="Y32" s="358" t="s">
        <v>508</v>
      </c>
      <c r="Z32" s="359" t="s">
        <v>537</v>
      </c>
      <c r="AA32" s="360">
        <v>7000000</v>
      </c>
      <c r="AB32" s="358"/>
      <c r="AC32" s="361"/>
    </row>
    <row r="33" spans="1:31">
      <c r="A33" s="416" t="s">
        <v>582</v>
      </c>
      <c r="B33" s="331"/>
      <c r="C33" s="332"/>
      <c r="D33" s="332"/>
      <c r="E33" s="340"/>
      <c r="F33" s="332"/>
      <c r="G33" s="332"/>
      <c r="H33" s="332"/>
      <c r="I33" s="332"/>
      <c r="J33" s="453"/>
      <c r="K33" s="340"/>
      <c r="L33" s="340"/>
      <c r="M33" s="340"/>
      <c r="N33" s="340"/>
      <c r="O33" s="401"/>
      <c r="P33" s="542"/>
      <c r="Q33" s="380"/>
      <c r="R33" s="380"/>
      <c r="S33" s="380"/>
      <c r="T33" s="380"/>
      <c r="U33" s="380"/>
      <c r="V33" s="356" t="s">
        <v>2</v>
      </c>
      <c r="W33" s="357">
        <v>91999905</v>
      </c>
      <c r="X33" s="358" t="s">
        <v>507</v>
      </c>
      <c r="Y33" s="358" t="s">
        <v>508</v>
      </c>
      <c r="Z33" s="359" t="s">
        <v>537</v>
      </c>
      <c r="AA33" s="360">
        <v>7000000</v>
      </c>
      <c r="AB33" s="358"/>
      <c r="AC33" s="361"/>
    </row>
    <row r="34" spans="1:31">
      <c r="A34" s="454" t="s">
        <v>598</v>
      </c>
      <c r="B34" s="332">
        <f>ROUND(B128*B86,0)</f>
        <v>2500000</v>
      </c>
      <c r="C34" s="332">
        <f>ROUND(C128*C86,0)</f>
        <v>2500000</v>
      </c>
      <c r="D34" s="332"/>
      <c r="E34" s="332">
        <f t="shared" ref="E34:O34" si="12">ROUND(E128*E86,0)</f>
        <v>2500000</v>
      </c>
      <c r="F34" s="332">
        <f t="shared" si="12"/>
        <v>2500000</v>
      </c>
      <c r="G34" s="332">
        <f t="shared" si="12"/>
        <v>0</v>
      </c>
      <c r="H34" s="332">
        <f t="shared" si="12"/>
        <v>0</v>
      </c>
      <c r="I34" s="332">
        <f t="shared" si="12"/>
        <v>0</v>
      </c>
      <c r="J34" s="332">
        <f t="shared" si="12"/>
        <v>2500000</v>
      </c>
      <c r="K34" s="332">
        <f t="shared" si="12"/>
        <v>2500000</v>
      </c>
      <c r="L34" s="332">
        <f t="shared" si="12"/>
        <v>2500000</v>
      </c>
      <c r="M34" s="332">
        <f t="shared" si="12"/>
        <v>2500000</v>
      </c>
      <c r="N34" s="332">
        <f t="shared" si="12"/>
        <v>2500000</v>
      </c>
      <c r="O34" s="400">
        <f t="shared" si="12"/>
        <v>0</v>
      </c>
      <c r="P34" s="542">
        <f t="shared" si="8"/>
        <v>22500000</v>
      </c>
      <c r="Q34" s="379" t="s">
        <v>527</v>
      </c>
      <c r="R34" s="379"/>
      <c r="S34" s="379"/>
      <c r="T34" s="379"/>
      <c r="U34" s="379" t="s">
        <v>527</v>
      </c>
      <c r="V34" s="356" t="s">
        <v>2</v>
      </c>
      <c r="W34" s="357">
        <v>91999906</v>
      </c>
      <c r="X34" s="358" t="s">
        <v>507</v>
      </c>
      <c r="Y34" s="358" t="s">
        <v>508</v>
      </c>
      <c r="Z34" s="359" t="s">
        <v>537</v>
      </c>
      <c r="AA34" s="360">
        <v>7000000</v>
      </c>
      <c r="AB34" s="358"/>
      <c r="AC34" s="361"/>
    </row>
    <row r="35" spans="1:31">
      <c r="A35" s="451" t="s">
        <v>493</v>
      </c>
      <c r="B35" s="332">
        <f>ROUND(B129*B86,0)</f>
        <v>730000</v>
      </c>
      <c r="C35" s="332">
        <f>ROUND(C129*C86,0)</f>
        <v>730000</v>
      </c>
      <c r="D35" s="332"/>
      <c r="E35" s="332">
        <f t="shared" ref="E35:O35" si="13">ROUND(E129*E86,0)</f>
        <v>730000</v>
      </c>
      <c r="F35" s="332">
        <f t="shared" si="13"/>
        <v>730000</v>
      </c>
      <c r="G35" s="332">
        <f t="shared" si="13"/>
        <v>0</v>
      </c>
      <c r="H35" s="332">
        <f t="shared" si="13"/>
        <v>0</v>
      </c>
      <c r="I35" s="332">
        <f t="shared" si="13"/>
        <v>0</v>
      </c>
      <c r="J35" s="332">
        <f t="shared" si="13"/>
        <v>730000</v>
      </c>
      <c r="K35" s="332">
        <f t="shared" si="13"/>
        <v>730000</v>
      </c>
      <c r="L35" s="332">
        <f t="shared" si="13"/>
        <v>730000</v>
      </c>
      <c r="M35" s="332">
        <f t="shared" si="13"/>
        <v>730000</v>
      </c>
      <c r="N35" s="332">
        <f t="shared" si="13"/>
        <v>730000</v>
      </c>
      <c r="O35" s="400">
        <f t="shared" si="13"/>
        <v>0</v>
      </c>
      <c r="P35" s="542">
        <f t="shared" si="8"/>
        <v>6570000</v>
      </c>
      <c r="Q35" s="379" t="s">
        <v>527</v>
      </c>
      <c r="R35" s="379"/>
      <c r="S35" s="379"/>
      <c r="T35" s="379"/>
      <c r="U35" s="379" t="s">
        <v>527</v>
      </c>
      <c r="V35" s="356" t="s">
        <v>2</v>
      </c>
      <c r="W35" s="357">
        <v>91999907</v>
      </c>
      <c r="X35" s="358" t="s">
        <v>603</v>
      </c>
      <c r="Y35" s="358" t="s">
        <v>508</v>
      </c>
      <c r="Z35" s="359">
        <v>7065</v>
      </c>
      <c r="AA35" s="360">
        <v>100</v>
      </c>
      <c r="AB35" s="447" t="s">
        <v>542</v>
      </c>
      <c r="AC35" s="448"/>
    </row>
    <row r="36" spans="1:31">
      <c r="A36" s="412"/>
      <c r="B36" s="331"/>
      <c r="C36" s="332"/>
      <c r="D36" s="332"/>
      <c r="E36" s="332"/>
      <c r="F36" s="332"/>
      <c r="G36" s="332"/>
      <c r="H36" s="332"/>
      <c r="I36" s="332"/>
      <c r="J36" s="332"/>
      <c r="K36" s="332"/>
      <c r="L36" s="332"/>
      <c r="M36" s="332"/>
      <c r="N36" s="332"/>
      <c r="O36" s="400"/>
      <c r="P36" s="355"/>
      <c r="Q36" s="379"/>
      <c r="R36" s="379"/>
      <c r="S36" s="379"/>
      <c r="T36" s="379"/>
      <c r="U36" s="379"/>
      <c r="V36" s="356" t="s">
        <v>2</v>
      </c>
      <c r="W36" s="357">
        <v>91999908</v>
      </c>
      <c r="X36" s="358" t="s">
        <v>507</v>
      </c>
      <c r="Y36" s="358" t="s">
        <v>508</v>
      </c>
      <c r="Z36" s="359">
        <v>7065</v>
      </c>
      <c r="AA36" s="360">
        <v>100</v>
      </c>
      <c r="AB36" s="447" t="s">
        <v>542</v>
      </c>
      <c r="AC36" s="448"/>
    </row>
    <row r="37" spans="1:31">
      <c r="A37" s="528" t="s">
        <v>572</v>
      </c>
      <c r="B37" s="332"/>
      <c r="C37" s="332"/>
      <c r="D37" s="332"/>
      <c r="E37" s="340"/>
      <c r="F37" s="332"/>
      <c r="G37" s="332"/>
      <c r="H37" s="332"/>
      <c r="I37" s="332"/>
      <c r="J37" s="332"/>
      <c r="K37" s="340"/>
      <c r="L37" s="340"/>
      <c r="M37" s="340"/>
      <c r="N37" s="340"/>
      <c r="O37" s="401"/>
      <c r="P37" s="355"/>
      <c r="Q37" s="379"/>
      <c r="R37" s="379"/>
      <c r="S37" s="379"/>
      <c r="T37" s="379"/>
      <c r="U37" s="379"/>
      <c r="V37" s="356" t="s">
        <v>2</v>
      </c>
      <c r="W37" s="357">
        <v>91999907</v>
      </c>
      <c r="X37" s="358" t="s">
        <v>603</v>
      </c>
      <c r="Y37" s="358" t="s">
        <v>508</v>
      </c>
      <c r="Z37" s="359">
        <v>7070</v>
      </c>
      <c r="AA37" s="360">
        <v>200</v>
      </c>
      <c r="AB37" s="447" t="s">
        <v>542</v>
      </c>
      <c r="AC37" s="448"/>
    </row>
    <row r="38" spans="1:31">
      <c r="A38" s="445" t="s">
        <v>512</v>
      </c>
      <c r="B38" s="332">
        <f t="shared" ref="B38:O38" si="14">IF(OR(B18="A",B18="B"),B89,ROUND(B89*B13%,0))</f>
        <v>679452</v>
      </c>
      <c r="C38" s="332">
        <f t="shared" si="14"/>
        <v>679452</v>
      </c>
      <c r="D38" s="332">
        <f t="shared" si="14"/>
        <v>0</v>
      </c>
      <c r="E38" s="332">
        <f t="shared" si="14"/>
        <v>679452</v>
      </c>
      <c r="F38" s="332">
        <f t="shared" si="14"/>
        <v>679452</v>
      </c>
      <c r="G38" s="332">
        <f t="shared" si="14"/>
        <v>0</v>
      </c>
      <c r="H38" s="332">
        <f t="shared" si="14"/>
        <v>339726</v>
      </c>
      <c r="I38" s="332">
        <f t="shared" si="14"/>
        <v>0</v>
      </c>
      <c r="J38" s="332">
        <f t="shared" si="14"/>
        <v>0</v>
      </c>
      <c r="K38" s="332">
        <f t="shared" si="14"/>
        <v>0</v>
      </c>
      <c r="L38" s="332">
        <f t="shared" si="14"/>
        <v>0</v>
      </c>
      <c r="M38" s="332">
        <f t="shared" si="14"/>
        <v>0</v>
      </c>
      <c r="N38" s="332">
        <f t="shared" si="14"/>
        <v>0</v>
      </c>
      <c r="O38" s="332">
        <f t="shared" si="14"/>
        <v>0</v>
      </c>
      <c r="P38" s="345">
        <f>SUM(B38:O38)</f>
        <v>3057534</v>
      </c>
      <c r="Q38" s="379"/>
      <c r="R38" s="379" t="s">
        <v>597</v>
      </c>
      <c r="S38" s="379"/>
      <c r="T38" s="379"/>
      <c r="U38" s="379"/>
      <c r="V38" s="356" t="s">
        <v>2</v>
      </c>
      <c r="W38" s="357">
        <v>91999908</v>
      </c>
      <c r="X38" s="358" t="s">
        <v>507</v>
      </c>
      <c r="Y38" s="358" t="s">
        <v>508</v>
      </c>
      <c r="Z38" s="359">
        <v>7070</v>
      </c>
      <c r="AA38" s="360">
        <v>200</v>
      </c>
      <c r="AB38" s="447" t="s">
        <v>542</v>
      </c>
      <c r="AC38" s="448"/>
    </row>
    <row r="39" spans="1:31">
      <c r="A39" s="445" t="s">
        <v>534</v>
      </c>
      <c r="B39" s="332">
        <f t="shared" ref="B39:O39" si="15">IF(OR(B18="A",B18="B"),ROUND(2369796/365*B16,0),ROUND(ROUND(2466.55*$B$4,0)/365*B16,0))*B19*IF(B17&lt;3,0,IF(B17&lt;6,50%,100%))</f>
        <v>201270</v>
      </c>
      <c r="C39" s="332">
        <f t="shared" si="15"/>
        <v>402540</v>
      </c>
      <c r="D39" s="332">
        <f t="shared" si="15"/>
        <v>0</v>
      </c>
      <c r="E39" s="332">
        <f t="shared" si="15"/>
        <v>301905</v>
      </c>
      <c r="F39" s="332">
        <f t="shared" si="15"/>
        <v>0</v>
      </c>
      <c r="G39" s="332">
        <f t="shared" si="15"/>
        <v>0</v>
      </c>
      <c r="H39" s="332">
        <f t="shared" si="15"/>
        <v>9722330</v>
      </c>
      <c r="I39" s="332">
        <f t="shared" si="15"/>
        <v>0</v>
      </c>
      <c r="J39" s="332">
        <f t="shared" si="15"/>
        <v>0</v>
      </c>
      <c r="K39" s="332">
        <f t="shared" si="15"/>
        <v>0</v>
      </c>
      <c r="L39" s="332">
        <f t="shared" si="15"/>
        <v>0</v>
      </c>
      <c r="M39" s="332">
        <f t="shared" si="15"/>
        <v>0</v>
      </c>
      <c r="N39" s="332">
        <f t="shared" si="15"/>
        <v>0</v>
      </c>
      <c r="O39" s="332">
        <f t="shared" si="15"/>
        <v>0</v>
      </c>
      <c r="P39" s="346">
        <f>SUM(B39:O39)</f>
        <v>10628045</v>
      </c>
      <c r="Q39" s="379"/>
      <c r="R39" s="379" t="s">
        <v>597</v>
      </c>
      <c r="S39" s="379"/>
      <c r="T39" s="379"/>
      <c r="U39" s="379"/>
      <c r="V39" s="356" t="s">
        <v>2</v>
      </c>
      <c r="W39" s="357">
        <v>91999901</v>
      </c>
      <c r="X39" s="358" t="s">
        <v>507</v>
      </c>
      <c r="Y39" s="358" t="s">
        <v>508</v>
      </c>
      <c r="Z39" s="359">
        <v>9140</v>
      </c>
      <c r="AA39" s="360"/>
      <c r="AB39" s="750">
        <v>7.5999999999999998E-2</v>
      </c>
      <c r="AC39" s="448"/>
    </row>
    <row r="40" spans="1:31">
      <c r="A40" s="412"/>
      <c r="B40" s="331"/>
      <c r="C40" s="332"/>
      <c r="D40" s="332"/>
      <c r="E40" s="340"/>
      <c r="F40" s="368"/>
      <c r="G40" s="368"/>
      <c r="H40" s="368"/>
      <c r="I40" s="368"/>
      <c r="J40" s="368"/>
      <c r="K40" s="340"/>
      <c r="L40" s="340"/>
      <c r="M40" s="340"/>
      <c r="N40" s="340"/>
      <c r="O40" s="401"/>
      <c r="P40" s="355"/>
      <c r="Q40" s="379"/>
      <c r="R40" s="379"/>
      <c r="S40" s="379"/>
      <c r="T40" s="379"/>
      <c r="U40" s="379"/>
      <c r="V40" s="356" t="s">
        <v>2</v>
      </c>
      <c r="W40" s="357">
        <v>91999907</v>
      </c>
      <c r="X40" s="358" t="s">
        <v>507</v>
      </c>
      <c r="Y40" s="358" t="s">
        <v>508</v>
      </c>
      <c r="Z40" s="359">
        <v>9140</v>
      </c>
      <c r="AA40" s="360"/>
      <c r="AB40" s="750">
        <v>0.56000000000000005</v>
      </c>
      <c r="AC40" s="448"/>
    </row>
    <row r="41" spans="1:31">
      <c r="A41" s="450" t="s">
        <v>61</v>
      </c>
      <c r="B41" s="365">
        <f t="shared" ref="B41:O41" si="16">SUM(B24:B36)</f>
        <v>22830000</v>
      </c>
      <c r="C41" s="366">
        <f t="shared" si="16"/>
        <v>21790000</v>
      </c>
      <c r="D41" s="366">
        <f t="shared" si="16"/>
        <v>0</v>
      </c>
      <c r="E41" s="366">
        <f t="shared" si="16"/>
        <v>24730000</v>
      </c>
      <c r="F41" s="366">
        <f t="shared" si="16"/>
        <v>29730000</v>
      </c>
      <c r="G41" s="366">
        <f t="shared" si="16"/>
        <v>29006250</v>
      </c>
      <c r="H41" s="366">
        <f t="shared" si="16"/>
        <v>168816375</v>
      </c>
      <c r="I41" s="366">
        <f t="shared" si="16"/>
        <v>100361625</v>
      </c>
      <c r="J41" s="366">
        <f t="shared" si="16"/>
        <v>85230000</v>
      </c>
      <c r="K41" s="366">
        <f t="shared" si="16"/>
        <v>26730000</v>
      </c>
      <c r="L41" s="366">
        <f t="shared" si="16"/>
        <v>25230000</v>
      </c>
      <c r="M41" s="366">
        <f t="shared" si="16"/>
        <v>26653100</v>
      </c>
      <c r="N41" s="495">
        <f t="shared" si="16"/>
        <v>24580000</v>
      </c>
      <c r="O41" s="496">
        <f t="shared" si="16"/>
        <v>4500000</v>
      </c>
      <c r="P41" s="355">
        <f>SUM(B41:O41)</f>
        <v>590187350</v>
      </c>
      <c r="Q41" s="379"/>
      <c r="R41" s="379"/>
      <c r="S41" s="379"/>
      <c r="T41" s="379"/>
      <c r="U41" s="379"/>
      <c r="V41" s="356" t="s">
        <v>773</v>
      </c>
      <c r="W41" s="357">
        <v>91999905</v>
      </c>
      <c r="X41" s="358" t="s">
        <v>507</v>
      </c>
      <c r="Y41" s="358" t="s">
        <v>508</v>
      </c>
      <c r="Z41" s="359" t="s">
        <v>649</v>
      </c>
      <c r="AA41" s="360"/>
      <c r="AB41" s="447">
        <v>1</v>
      </c>
      <c r="AC41" s="448"/>
    </row>
    <row r="42" spans="1:31">
      <c r="A42" s="418"/>
      <c r="B42" s="331"/>
      <c r="C42" s="332"/>
      <c r="D42" s="332"/>
      <c r="E42" s="340"/>
      <c r="F42" s="332"/>
      <c r="G42" s="332"/>
      <c r="H42" s="332"/>
      <c r="I42" s="332"/>
      <c r="J42" s="332"/>
      <c r="K42" s="340"/>
      <c r="L42" s="340"/>
      <c r="M42" s="340"/>
      <c r="N42" s="340"/>
      <c r="O42" s="401"/>
      <c r="P42" s="355"/>
      <c r="Q42" s="379"/>
      <c r="R42" s="379"/>
      <c r="S42" s="379"/>
      <c r="T42" s="379"/>
      <c r="U42" s="379"/>
      <c r="V42" s="593" t="s">
        <v>2</v>
      </c>
      <c r="W42" s="594">
        <v>91999901</v>
      </c>
      <c r="X42" s="595" t="s">
        <v>818</v>
      </c>
      <c r="Y42" s="595" t="s">
        <v>820</v>
      </c>
      <c r="Z42" s="596">
        <v>3081</v>
      </c>
      <c r="AA42" s="592">
        <v>3000000</v>
      </c>
      <c r="AB42" s="595"/>
      <c r="AC42" s="597"/>
    </row>
    <row r="43" spans="1:31" ht="15.6">
      <c r="A43" s="419" t="s">
        <v>60</v>
      </c>
      <c r="B43" s="369"/>
      <c r="C43" s="362"/>
      <c r="D43" s="362"/>
      <c r="E43" s="370"/>
      <c r="F43" s="362"/>
      <c r="G43" s="362"/>
      <c r="H43" s="362"/>
      <c r="I43" s="362"/>
      <c r="J43" s="362"/>
      <c r="K43" s="370"/>
      <c r="L43" s="370"/>
      <c r="M43" s="370"/>
      <c r="N43" s="370"/>
      <c r="O43" s="383"/>
      <c r="P43" s="355"/>
      <c r="Q43" s="379"/>
      <c r="R43" s="379"/>
      <c r="S43" s="379"/>
      <c r="T43" s="379"/>
      <c r="U43" s="379"/>
      <c r="V43" s="593" t="s">
        <v>2</v>
      </c>
      <c r="W43" s="594">
        <v>91999902</v>
      </c>
      <c r="X43" s="595" t="s">
        <v>818</v>
      </c>
      <c r="Y43" s="595" t="s">
        <v>820</v>
      </c>
      <c r="Z43" s="596">
        <v>3081</v>
      </c>
      <c r="AA43" s="592">
        <v>3000000</v>
      </c>
      <c r="AB43" s="595"/>
      <c r="AC43" s="597"/>
    </row>
    <row r="44" spans="1:31">
      <c r="A44" s="414" t="s">
        <v>55</v>
      </c>
      <c r="B44" s="369"/>
      <c r="C44" s="362"/>
      <c r="D44" s="362"/>
      <c r="E44" s="370"/>
      <c r="F44" s="362"/>
      <c r="G44" s="362"/>
      <c r="H44" s="362"/>
      <c r="I44" s="362"/>
      <c r="J44" s="362"/>
      <c r="K44" s="370"/>
      <c r="L44" s="370"/>
      <c r="M44" s="370"/>
      <c r="N44" s="370"/>
      <c r="O44" s="383"/>
      <c r="P44" s="355"/>
      <c r="Q44" s="379"/>
      <c r="R44" s="379"/>
      <c r="S44" s="379"/>
      <c r="T44" s="379"/>
      <c r="U44" s="379"/>
      <c r="V44" s="593" t="s">
        <v>2</v>
      </c>
      <c r="W44" s="594">
        <v>91999904</v>
      </c>
      <c r="X44" s="595" t="s">
        <v>817</v>
      </c>
      <c r="Y44" s="595" t="s">
        <v>819</v>
      </c>
      <c r="Z44" s="596">
        <v>3081</v>
      </c>
      <c r="AA44" s="592">
        <v>3000000</v>
      </c>
      <c r="AB44" s="595"/>
      <c r="AC44" s="597"/>
    </row>
    <row r="45" spans="1:31">
      <c r="A45" s="424" t="s">
        <v>576</v>
      </c>
      <c r="B45" s="332">
        <f>ROUND(MIN(B$96,29800000)*'New Hire'!C56,0)</f>
        <v>1008000</v>
      </c>
      <c r="C45" s="332">
        <f>ROUND(MIN(C$96,29800000)*'New Hire'!D56,0)</f>
        <v>924800</v>
      </c>
      <c r="D45" s="332">
        <f>ROUND(MIN(D$96,29800000)*'New Hire'!E56,0)</f>
        <v>0</v>
      </c>
      <c r="E45" s="332">
        <f>ROUND(MIN(E$96,29800000)*'New Hire'!F56,0)</f>
        <v>1160000</v>
      </c>
      <c r="F45" s="332">
        <f>ROUND(MIN(F$96,29800000)*'New Hire'!G56,0)</f>
        <v>0</v>
      </c>
      <c r="G45" s="332">
        <f>ROUND(MIN(G$96,29800000)*'New Hire'!H56,0)</f>
        <v>0</v>
      </c>
      <c r="H45" s="332">
        <f>ROUND(MIN(H$96,29800000)*'New Hire'!I56,0)</f>
        <v>0</v>
      </c>
      <c r="I45" s="332">
        <f>ROUND(MIN(I$96,29800000)*'New Hire'!J56,0)</f>
        <v>0</v>
      </c>
      <c r="J45" s="332">
        <f>ROUND(MIN(J$96,29800000)*'New Hire'!K56,0)</f>
        <v>2384000</v>
      </c>
      <c r="K45" s="332">
        <f>ROUND(MIN(K$96,29800000)*'New Hire'!L56,0)</f>
        <v>0</v>
      </c>
      <c r="L45" s="332">
        <f>ROUND(MIN(L$96,29800000)*'New Hire'!M56,0)</f>
        <v>1200000</v>
      </c>
      <c r="M45" s="332">
        <f>ROUND(MIN(M$96,29800000)*'New Hire'!N56,0)</f>
        <v>0</v>
      </c>
      <c r="N45" s="332">
        <f>ROUND(MIN(N$96,29800000)*'New Hire'!O56,0)</f>
        <v>0</v>
      </c>
      <c r="O45" s="332">
        <f>ROUND(MIN(O$96,29800000)*'New Hire'!P56,0)</f>
        <v>0</v>
      </c>
      <c r="P45" s="355">
        <f t="shared" ref="P45:P52" si="17">SUM(B45:O45)</f>
        <v>6676800</v>
      </c>
      <c r="Q45" s="379"/>
      <c r="R45" s="379"/>
      <c r="S45" s="379"/>
      <c r="T45" s="379"/>
      <c r="U45" s="379"/>
      <c r="V45" s="593" t="s">
        <v>2</v>
      </c>
      <c r="W45" s="594">
        <v>91999905</v>
      </c>
      <c r="X45" s="595" t="s">
        <v>817</v>
      </c>
      <c r="Y45" s="595" t="s">
        <v>819</v>
      </c>
      <c r="Z45" s="596">
        <v>3081</v>
      </c>
      <c r="AA45" s="592">
        <v>3000000</v>
      </c>
      <c r="AB45" s="595"/>
      <c r="AC45" s="597"/>
      <c r="AD45" s="293"/>
      <c r="AE45" s="293"/>
    </row>
    <row r="46" spans="1:31">
      <c r="A46" s="445" t="s">
        <v>577</v>
      </c>
      <c r="B46" s="332">
        <f>ROUND(MIN(B$96,83600000)*'New Hire'!C59,0)</f>
        <v>126000</v>
      </c>
      <c r="C46" s="332">
        <f>ROUND(MIN(C$96,83600000)*'New Hire'!D59,0)</f>
        <v>115600</v>
      </c>
      <c r="D46" s="332">
        <f>ROUND(MIN(D$96,83600000)*'New Hire'!E59,0)</f>
        <v>836000</v>
      </c>
      <c r="E46" s="332">
        <f>ROUND(MIN(E$96,83600000)*'New Hire'!F59,0)</f>
        <v>145000</v>
      </c>
      <c r="F46" s="332">
        <f>ROUND(MIN(F$96,83600000)*'New Hire'!G59,0)</f>
        <v>0</v>
      </c>
      <c r="G46" s="332">
        <f>ROUND(MIN(G$96,83600000)*'New Hire'!H59,0)</f>
        <v>0</v>
      </c>
      <c r="H46" s="332">
        <f>ROUND(MIN(H$96,83600000)*'New Hire'!I59,0)</f>
        <v>0</v>
      </c>
      <c r="I46" s="332">
        <f>ROUND(MIN(I$96,83600000)*'New Hire'!J59,0)</f>
        <v>0</v>
      </c>
      <c r="J46" s="332">
        <f>ROUND(MIN(J$96,83600000)*'New Hire'!K59,0)</f>
        <v>750000</v>
      </c>
      <c r="K46" s="332">
        <f>ROUND(MIN(K$96,83600000)*'New Hire'!L59,0)</f>
        <v>0</v>
      </c>
      <c r="L46" s="332">
        <f>ROUND(MIN(L$96,83600000)*'New Hire'!M59,0)</f>
        <v>150000</v>
      </c>
      <c r="M46" s="332">
        <f>ROUND(MIN(M$96,83600000)*'New Hire'!N59,0)</f>
        <v>0</v>
      </c>
      <c r="N46" s="332">
        <f>ROUND(MIN(N$96,83600000)*'New Hire'!O59,0)</f>
        <v>0</v>
      </c>
      <c r="O46" s="332">
        <f>ROUND(MIN(O$96,83600000)*'New Hire'!P59,0)</f>
        <v>0</v>
      </c>
      <c r="P46" s="355">
        <f t="shared" si="17"/>
        <v>2122600</v>
      </c>
      <c r="Q46" s="379"/>
      <c r="R46" s="379"/>
      <c r="S46" s="379"/>
      <c r="T46" s="379"/>
      <c r="U46" s="379"/>
      <c r="V46" s="593" t="s">
        <v>2</v>
      </c>
      <c r="W46" s="594">
        <v>91999909</v>
      </c>
      <c r="X46" s="595" t="s">
        <v>817</v>
      </c>
      <c r="Y46" s="595" t="s">
        <v>819</v>
      </c>
      <c r="Z46" s="596">
        <v>3081</v>
      </c>
      <c r="AA46" s="592">
        <v>3000000</v>
      </c>
      <c r="AB46" s="595"/>
      <c r="AC46" s="597"/>
      <c r="AD46" s="293"/>
      <c r="AE46" s="293"/>
    </row>
    <row r="47" spans="1:31">
      <c r="A47" s="445" t="s">
        <v>578</v>
      </c>
      <c r="B47" s="332">
        <f>ROUND(MIN(B$96,29800000)*'New Hire'!C62,0)</f>
        <v>189000</v>
      </c>
      <c r="C47" s="332">
        <f>ROUND(MIN(C$96,29800000)*'New Hire'!D62,0)</f>
        <v>173400</v>
      </c>
      <c r="D47" s="332">
        <f>ROUND(MIN(D$96,29800000)*'New Hire'!E62,0)</f>
        <v>447000</v>
      </c>
      <c r="E47" s="332">
        <f>ROUND(MIN(E$96,29800000)*'New Hire'!F62,0)</f>
        <v>217500</v>
      </c>
      <c r="F47" s="332">
        <f>ROUND(MIN(F$96,29800000)*'New Hire'!G62,0)</f>
        <v>0</v>
      </c>
      <c r="G47" s="332">
        <f>ROUND(MIN(G$96,29800000)*'New Hire'!H62,0)</f>
        <v>0</v>
      </c>
      <c r="H47" s="332">
        <f>ROUND(MIN(H$96,29800000)*'New Hire'!I62,0)</f>
        <v>447000</v>
      </c>
      <c r="I47" s="332">
        <f>ROUND(MIN(I$96,29800000)*'New Hire'!J62,0)</f>
        <v>447000</v>
      </c>
      <c r="J47" s="332">
        <f>ROUND(MIN(J$96,29800000)*'New Hire'!K62,0)</f>
        <v>447000</v>
      </c>
      <c r="K47" s="332">
        <f>ROUND(MIN(K$96,29800000)*'New Hire'!L62,0)</f>
        <v>0</v>
      </c>
      <c r="L47" s="332">
        <f>ROUND(MIN(L$96,29800000)*'New Hire'!M62,0)</f>
        <v>225000</v>
      </c>
      <c r="M47" s="332">
        <f>ROUND(MIN(M$96,29800000)*'New Hire'!N62,0)</f>
        <v>0</v>
      </c>
      <c r="N47" s="332">
        <f>ROUND(MIN(N$96,29800000)*'New Hire'!O62,0)</f>
        <v>0</v>
      </c>
      <c r="O47" s="332">
        <f>ROUND(MIN(O$96,29800000)*'New Hire'!P62,0)</f>
        <v>0</v>
      </c>
      <c r="P47" s="355">
        <f t="shared" si="17"/>
        <v>2592900</v>
      </c>
      <c r="Q47" s="379"/>
      <c r="R47" s="379"/>
      <c r="S47" s="379"/>
      <c r="T47" s="379"/>
      <c r="U47" s="379"/>
      <c r="V47" s="593" t="s">
        <v>2</v>
      </c>
      <c r="W47" s="594">
        <v>91999910</v>
      </c>
      <c r="X47" s="595" t="s">
        <v>817</v>
      </c>
      <c r="Y47" s="595" t="s">
        <v>819</v>
      </c>
      <c r="Z47" s="596">
        <v>3081</v>
      </c>
      <c r="AA47" s="592">
        <v>3000000</v>
      </c>
      <c r="AB47" s="595"/>
      <c r="AC47" s="597"/>
      <c r="AD47" s="293"/>
      <c r="AE47" s="293"/>
    </row>
    <row r="48" spans="1:31">
      <c r="A48" s="412" t="s">
        <v>111</v>
      </c>
      <c r="B48" s="331">
        <f>B103</f>
        <v>0</v>
      </c>
      <c r="C48" s="332">
        <f>C103</f>
        <v>0</v>
      </c>
      <c r="D48" s="332"/>
      <c r="E48" s="332">
        <f t="shared" ref="E48:O48" si="18">E103</f>
        <v>1198136</v>
      </c>
      <c r="F48" s="332">
        <f t="shared" si="18"/>
        <v>1667945</v>
      </c>
      <c r="G48" s="332">
        <f t="shared" si="18"/>
        <v>2351250</v>
      </c>
      <c r="H48" s="368">
        <f t="shared" si="18"/>
        <v>33803261</v>
      </c>
      <c r="I48" s="332">
        <f t="shared" si="18"/>
        <v>18099900</v>
      </c>
      <c r="J48" s="332">
        <f t="shared" si="18"/>
        <v>11825700</v>
      </c>
      <c r="K48" s="332">
        <f t="shared" si="18"/>
        <v>200000</v>
      </c>
      <c r="L48" s="332">
        <f t="shared" si="18"/>
        <v>46250</v>
      </c>
      <c r="M48" s="332">
        <f t="shared" si="18"/>
        <v>135578</v>
      </c>
      <c r="N48" s="332">
        <f t="shared" si="18"/>
        <v>92500</v>
      </c>
      <c r="O48" s="400">
        <f t="shared" si="18"/>
        <v>450000</v>
      </c>
      <c r="P48" s="355">
        <f t="shared" si="17"/>
        <v>69870520</v>
      </c>
      <c r="Q48" s="379"/>
      <c r="R48" s="379"/>
      <c r="S48" s="379"/>
      <c r="T48" s="379"/>
      <c r="U48" s="379"/>
      <c r="V48" s="593" t="s">
        <v>2</v>
      </c>
      <c r="W48" s="594">
        <v>91999911</v>
      </c>
      <c r="X48" s="595" t="s">
        <v>817</v>
      </c>
      <c r="Y48" s="595" t="s">
        <v>819</v>
      </c>
      <c r="Z48" s="596">
        <v>3081</v>
      </c>
      <c r="AA48" s="592">
        <v>3000000</v>
      </c>
      <c r="AB48" s="595"/>
      <c r="AC48" s="597"/>
      <c r="AD48" s="293"/>
      <c r="AE48" s="293"/>
    </row>
    <row r="49" spans="1:31">
      <c r="A49" s="445" t="s">
        <v>514</v>
      </c>
      <c r="B49" s="332">
        <f t="shared" ref="B49:O49" si="19">B89-B38</f>
        <v>0</v>
      </c>
      <c r="C49" s="332">
        <f t="shared" si="19"/>
        <v>0</v>
      </c>
      <c r="D49" s="332">
        <f t="shared" si="19"/>
        <v>0</v>
      </c>
      <c r="E49" s="332">
        <f t="shared" si="19"/>
        <v>0</v>
      </c>
      <c r="F49" s="332">
        <f t="shared" si="19"/>
        <v>0</v>
      </c>
      <c r="G49" s="332">
        <f t="shared" si="19"/>
        <v>0</v>
      </c>
      <c r="H49" s="332">
        <f t="shared" si="19"/>
        <v>339726</v>
      </c>
      <c r="I49" s="332">
        <f t="shared" si="19"/>
        <v>0</v>
      </c>
      <c r="J49" s="332">
        <f t="shared" si="19"/>
        <v>0</v>
      </c>
      <c r="K49" s="332">
        <f t="shared" si="19"/>
        <v>0</v>
      </c>
      <c r="L49" s="332">
        <f t="shared" si="19"/>
        <v>0</v>
      </c>
      <c r="M49" s="332">
        <f t="shared" si="19"/>
        <v>0</v>
      </c>
      <c r="N49" s="332">
        <f t="shared" si="19"/>
        <v>0</v>
      </c>
      <c r="O49" s="332">
        <f t="shared" si="19"/>
        <v>0</v>
      </c>
      <c r="P49" s="355">
        <f t="shared" si="17"/>
        <v>339726</v>
      </c>
      <c r="Q49" s="379"/>
      <c r="R49" s="379"/>
      <c r="S49" s="379"/>
      <c r="T49" s="379"/>
      <c r="U49" s="379"/>
      <c r="V49" s="593" t="s">
        <v>2</v>
      </c>
      <c r="W49" s="594">
        <v>91999912</v>
      </c>
      <c r="X49" s="595" t="s">
        <v>817</v>
      </c>
      <c r="Y49" s="595" t="s">
        <v>819</v>
      </c>
      <c r="Z49" s="596">
        <v>3081</v>
      </c>
      <c r="AA49" s="592">
        <v>3000000</v>
      </c>
      <c r="AB49" s="595"/>
      <c r="AC49" s="597"/>
      <c r="AD49" s="293"/>
      <c r="AE49" s="293"/>
    </row>
    <row r="50" spans="1:31">
      <c r="A50" s="445" t="s">
        <v>535</v>
      </c>
      <c r="B50" s="332">
        <f>B39</f>
        <v>201270</v>
      </c>
      <c r="C50" s="332">
        <f t="shared" ref="C50:O50" si="20">C39</f>
        <v>402540</v>
      </c>
      <c r="D50" s="332">
        <f t="shared" si="20"/>
        <v>0</v>
      </c>
      <c r="E50" s="332">
        <f t="shared" si="20"/>
        <v>301905</v>
      </c>
      <c r="F50" s="332">
        <f t="shared" si="20"/>
        <v>0</v>
      </c>
      <c r="G50" s="332">
        <f t="shared" si="20"/>
        <v>0</v>
      </c>
      <c r="H50" s="332">
        <f t="shared" si="20"/>
        <v>9722330</v>
      </c>
      <c r="I50" s="332">
        <f t="shared" si="20"/>
        <v>0</v>
      </c>
      <c r="J50" s="332">
        <f t="shared" si="20"/>
        <v>0</v>
      </c>
      <c r="K50" s="332">
        <f t="shared" si="20"/>
        <v>0</v>
      </c>
      <c r="L50" s="332">
        <f t="shared" si="20"/>
        <v>0</v>
      </c>
      <c r="M50" s="332">
        <f t="shared" si="20"/>
        <v>0</v>
      </c>
      <c r="N50" s="332">
        <f t="shared" si="20"/>
        <v>0</v>
      </c>
      <c r="O50" s="332">
        <f t="shared" si="20"/>
        <v>0</v>
      </c>
      <c r="P50" s="346">
        <f t="shared" si="17"/>
        <v>10628045</v>
      </c>
      <c r="Q50" s="379"/>
      <c r="R50" s="379"/>
      <c r="S50" s="379"/>
      <c r="T50" s="379"/>
      <c r="U50" s="379"/>
      <c r="V50" s="593" t="s">
        <v>2</v>
      </c>
      <c r="W50" s="594">
        <v>91999913</v>
      </c>
      <c r="X50" s="595" t="s">
        <v>817</v>
      </c>
      <c r="Y50" s="595" t="s">
        <v>819</v>
      </c>
      <c r="Z50" s="596">
        <v>3081</v>
      </c>
      <c r="AA50" s="592">
        <v>3000000</v>
      </c>
      <c r="AB50" s="595"/>
      <c r="AC50" s="597"/>
      <c r="AD50" s="293"/>
      <c r="AE50" s="293"/>
    </row>
    <row r="51" spans="1:31">
      <c r="A51" s="445" t="s">
        <v>538</v>
      </c>
      <c r="B51" s="332">
        <f>B90</f>
        <v>594521</v>
      </c>
      <c r="C51" s="332">
        <f t="shared" ref="C51:O51" si="21">C90</f>
        <v>594521</v>
      </c>
      <c r="D51" s="332">
        <f t="shared" si="21"/>
        <v>0</v>
      </c>
      <c r="E51" s="332">
        <f t="shared" si="21"/>
        <v>594521</v>
      </c>
      <c r="F51" s="332">
        <f t="shared" si="21"/>
        <v>594521</v>
      </c>
      <c r="G51" s="332">
        <f t="shared" si="21"/>
        <v>0</v>
      </c>
      <c r="H51" s="332">
        <f t="shared" si="21"/>
        <v>594521</v>
      </c>
      <c r="I51" s="332">
        <f t="shared" si="21"/>
        <v>0</v>
      </c>
      <c r="J51" s="332">
        <f t="shared" si="21"/>
        <v>0</v>
      </c>
      <c r="K51" s="332">
        <f t="shared" si="21"/>
        <v>0</v>
      </c>
      <c r="L51" s="332">
        <f t="shared" si="21"/>
        <v>0</v>
      </c>
      <c r="M51" s="332">
        <f t="shared" si="21"/>
        <v>0</v>
      </c>
      <c r="N51" s="332">
        <f t="shared" si="21"/>
        <v>0</v>
      </c>
      <c r="O51" s="332">
        <f t="shared" si="21"/>
        <v>0</v>
      </c>
      <c r="P51" s="355">
        <f t="shared" si="17"/>
        <v>2972605</v>
      </c>
      <c r="Q51" s="379"/>
      <c r="R51" s="379"/>
      <c r="S51" s="347"/>
      <c r="T51" s="347"/>
      <c r="U51" s="347"/>
      <c r="V51" s="593" t="s">
        <v>2</v>
      </c>
      <c r="W51" s="594">
        <v>91999901</v>
      </c>
      <c r="X51" s="595" t="s">
        <v>818</v>
      </c>
      <c r="Y51" s="595" t="s">
        <v>820</v>
      </c>
      <c r="Z51" s="596" t="s">
        <v>821</v>
      </c>
      <c r="AA51" s="592">
        <v>3500000</v>
      </c>
      <c r="AB51" s="595"/>
      <c r="AC51" s="597"/>
      <c r="AD51" s="293"/>
      <c r="AE51" s="293"/>
    </row>
    <row r="52" spans="1:31">
      <c r="A52" s="445" t="s">
        <v>539</v>
      </c>
      <c r="B52" s="332">
        <f>IF(OR(B18="A",B18="B"),0,ROUND(ROUND(297.1*$B$4,0)/365*B16,0))*B19</f>
        <v>0</v>
      </c>
      <c r="C52" s="332">
        <f t="shared" ref="C52:O52" si="22">IF(OR(C18="A",C18="B"),0,ROUND(ROUND(297.1*$B$4,0)/365*C16,0))*C19</f>
        <v>0</v>
      </c>
      <c r="D52" s="332">
        <f t="shared" si="22"/>
        <v>0</v>
      </c>
      <c r="E52" s="332">
        <f t="shared" si="22"/>
        <v>0</v>
      </c>
      <c r="F52" s="332">
        <f t="shared" si="22"/>
        <v>0</v>
      </c>
      <c r="G52" s="332">
        <f t="shared" si="22"/>
        <v>0</v>
      </c>
      <c r="H52" s="332">
        <f t="shared" si="22"/>
        <v>1171070</v>
      </c>
      <c r="I52" s="332">
        <f t="shared" si="22"/>
        <v>0</v>
      </c>
      <c r="J52" s="332">
        <f t="shared" si="22"/>
        <v>0</v>
      </c>
      <c r="K52" s="332">
        <f t="shared" si="22"/>
        <v>0</v>
      </c>
      <c r="L52" s="332">
        <f t="shared" si="22"/>
        <v>0</v>
      </c>
      <c r="M52" s="332">
        <f t="shared" si="22"/>
        <v>0</v>
      </c>
      <c r="N52" s="332">
        <f t="shared" si="22"/>
        <v>0</v>
      </c>
      <c r="O52" s="332">
        <f t="shared" si="22"/>
        <v>0</v>
      </c>
      <c r="P52" s="346">
        <f t="shared" si="17"/>
        <v>1171070</v>
      </c>
      <c r="Q52" s="341"/>
      <c r="R52" s="341"/>
      <c r="S52" s="341"/>
      <c r="T52" s="341"/>
      <c r="U52" s="341"/>
      <c r="V52" s="593" t="s">
        <v>2</v>
      </c>
      <c r="W52" s="594">
        <v>91999902</v>
      </c>
      <c r="X52" s="595" t="s">
        <v>818</v>
      </c>
      <c r="Y52" s="595" t="s">
        <v>820</v>
      </c>
      <c r="Z52" s="596" t="s">
        <v>821</v>
      </c>
      <c r="AA52" s="592">
        <v>3500000</v>
      </c>
      <c r="AB52" s="595"/>
      <c r="AC52" s="597"/>
      <c r="AD52" s="293"/>
      <c r="AE52" s="293"/>
    </row>
    <row r="53" spans="1:31">
      <c r="A53" s="412"/>
      <c r="B53" s="371"/>
      <c r="C53" s="372"/>
      <c r="D53" s="372"/>
      <c r="E53" s="373"/>
      <c r="F53" s="372"/>
      <c r="G53" s="372"/>
      <c r="H53" s="372"/>
      <c r="I53" s="372"/>
      <c r="J53" s="372"/>
      <c r="K53" s="373"/>
      <c r="L53" s="373"/>
      <c r="M53" s="373"/>
      <c r="N53" s="373"/>
      <c r="O53" s="403"/>
      <c r="P53" s="355"/>
      <c r="Q53" s="379"/>
      <c r="R53" s="379"/>
      <c r="S53" s="379"/>
      <c r="T53" s="379"/>
      <c r="U53" s="379"/>
      <c r="V53" s="593" t="s">
        <v>2</v>
      </c>
      <c r="W53" s="594">
        <v>91999904</v>
      </c>
      <c r="X53" s="595" t="s">
        <v>817</v>
      </c>
      <c r="Y53" s="595" t="s">
        <v>819</v>
      </c>
      <c r="Z53" s="596" t="s">
        <v>821</v>
      </c>
      <c r="AA53" s="592">
        <v>3500000</v>
      </c>
      <c r="AB53" s="595"/>
      <c r="AC53" s="597"/>
      <c r="AD53" s="293"/>
      <c r="AE53" s="293"/>
    </row>
    <row r="54" spans="1:31">
      <c r="A54" s="420" t="s">
        <v>4</v>
      </c>
      <c r="B54" s="365">
        <f t="shared" ref="B54:O54" si="23">SUM(B45:B53)</f>
        <v>2118791</v>
      </c>
      <c r="C54" s="366">
        <f t="shared" si="23"/>
        <v>2210861</v>
      </c>
      <c r="D54" s="366">
        <f t="shared" si="23"/>
        <v>1283000</v>
      </c>
      <c r="E54" s="366">
        <f t="shared" si="23"/>
        <v>3617062</v>
      </c>
      <c r="F54" s="366">
        <f t="shared" si="23"/>
        <v>2262466</v>
      </c>
      <c r="G54" s="366">
        <f t="shared" si="23"/>
        <v>2351250</v>
      </c>
      <c r="H54" s="366">
        <f t="shared" si="23"/>
        <v>46077908</v>
      </c>
      <c r="I54" s="366">
        <f t="shared" si="23"/>
        <v>18546900</v>
      </c>
      <c r="J54" s="366">
        <f t="shared" si="23"/>
        <v>15406700</v>
      </c>
      <c r="K54" s="366">
        <f t="shared" si="23"/>
        <v>200000</v>
      </c>
      <c r="L54" s="366">
        <f t="shared" si="23"/>
        <v>1621250</v>
      </c>
      <c r="M54" s="366">
        <f t="shared" si="23"/>
        <v>135578</v>
      </c>
      <c r="N54" s="495">
        <f t="shared" si="23"/>
        <v>92500</v>
      </c>
      <c r="O54" s="496">
        <f t="shared" si="23"/>
        <v>450000</v>
      </c>
      <c r="P54" s="355">
        <f>SUM(B54:O54)</f>
        <v>96374266</v>
      </c>
      <c r="Q54" s="379"/>
      <c r="R54" s="379"/>
      <c r="S54" s="379"/>
      <c r="T54" s="379"/>
      <c r="U54" s="379"/>
      <c r="V54" s="593" t="s">
        <v>2</v>
      </c>
      <c r="W54" s="594">
        <v>91999905</v>
      </c>
      <c r="X54" s="595" t="s">
        <v>817</v>
      </c>
      <c r="Y54" s="595" t="s">
        <v>819</v>
      </c>
      <c r="Z54" s="596" t="s">
        <v>821</v>
      </c>
      <c r="AA54" s="592">
        <v>3500000</v>
      </c>
      <c r="AB54" s="595"/>
      <c r="AC54" s="597"/>
      <c r="AD54" s="293"/>
      <c r="AE54" s="293"/>
    </row>
    <row r="55" spans="1:31">
      <c r="A55" s="421"/>
      <c r="B55" s="331"/>
      <c r="C55" s="332"/>
      <c r="D55" s="332"/>
      <c r="E55" s="340"/>
      <c r="F55" s="332"/>
      <c r="G55" s="332"/>
      <c r="H55" s="332"/>
      <c r="I55" s="332"/>
      <c r="J55" s="332"/>
      <c r="K55" s="340"/>
      <c r="L55" s="340"/>
      <c r="M55" s="340"/>
      <c r="N55" s="340"/>
      <c r="O55" s="401"/>
      <c r="P55" s="355"/>
      <c r="Q55" s="379"/>
      <c r="R55" s="379"/>
      <c r="S55" s="379"/>
      <c r="T55" s="379"/>
      <c r="U55" s="379"/>
      <c r="V55" s="593" t="s">
        <v>2</v>
      </c>
      <c r="W55" s="594">
        <v>91999907</v>
      </c>
      <c r="X55" s="595" t="s">
        <v>817</v>
      </c>
      <c r="Y55" s="595" t="s">
        <v>819</v>
      </c>
      <c r="Z55" s="596" t="s">
        <v>821</v>
      </c>
      <c r="AA55" s="592">
        <v>200</v>
      </c>
      <c r="AB55" s="595" t="s">
        <v>618</v>
      </c>
      <c r="AC55" s="597"/>
      <c r="AD55" s="293"/>
      <c r="AE55" s="293"/>
    </row>
    <row r="56" spans="1:31" ht="14.4" thickBot="1">
      <c r="A56" s="417" t="s">
        <v>5</v>
      </c>
      <c r="B56" s="333">
        <f t="shared" ref="B56:O56" si="24">B41-B54</f>
        <v>20711209</v>
      </c>
      <c r="C56" s="334">
        <f t="shared" si="24"/>
        <v>19579139</v>
      </c>
      <c r="D56" s="334">
        <f t="shared" si="24"/>
        <v>-1283000</v>
      </c>
      <c r="E56" s="334">
        <f t="shared" si="24"/>
        <v>21112938</v>
      </c>
      <c r="F56" s="334">
        <f t="shared" si="24"/>
        <v>27467534</v>
      </c>
      <c r="G56" s="334">
        <f t="shared" si="24"/>
        <v>26655000</v>
      </c>
      <c r="H56" s="334">
        <f t="shared" si="24"/>
        <v>122738467</v>
      </c>
      <c r="I56" s="334">
        <f t="shared" si="24"/>
        <v>81814725</v>
      </c>
      <c r="J56" s="334">
        <f t="shared" si="24"/>
        <v>69823300</v>
      </c>
      <c r="K56" s="334">
        <f t="shared" si="24"/>
        <v>26530000</v>
      </c>
      <c r="L56" s="334">
        <f t="shared" si="24"/>
        <v>23608750</v>
      </c>
      <c r="M56" s="334">
        <f t="shared" si="24"/>
        <v>26517522</v>
      </c>
      <c r="N56" s="334">
        <f t="shared" si="24"/>
        <v>24487500</v>
      </c>
      <c r="O56" s="404">
        <f t="shared" si="24"/>
        <v>4050000</v>
      </c>
      <c r="P56" s="355">
        <f>SUM(B56:O56)</f>
        <v>493813084</v>
      </c>
      <c r="Q56" s="379"/>
      <c r="R56" s="379"/>
      <c r="S56" s="379"/>
      <c r="T56" s="379"/>
      <c r="U56" s="379"/>
      <c r="V56" s="593" t="s">
        <v>2</v>
      </c>
      <c r="W56" s="594">
        <v>91999908</v>
      </c>
      <c r="X56" s="595" t="s">
        <v>817</v>
      </c>
      <c r="Y56" s="595" t="s">
        <v>819</v>
      </c>
      <c r="Z56" s="596" t="s">
        <v>821</v>
      </c>
      <c r="AA56" s="592">
        <v>200</v>
      </c>
      <c r="AB56" s="595" t="s">
        <v>618</v>
      </c>
      <c r="AC56" s="597"/>
      <c r="AD56" s="293"/>
      <c r="AE56" s="293"/>
    </row>
    <row r="57" spans="1:31" ht="14.4" thickTop="1">
      <c r="A57" s="422"/>
      <c r="B57" s="331"/>
      <c r="C57" s="332"/>
      <c r="D57" s="332"/>
      <c r="E57" s="340"/>
      <c r="F57" s="332"/>
      <c r="G57" s="332"/>
      <c r="H57" s="332"/>
      <c r="I57" s="332"/>
      <c r="J57" s="332"/>
      <c r="K57" s="340"/>
      <c r="L57" s="340"/>
      <c r="M57" s="340"/>
      <c r="N57" s="340"/>
      <c r="O57" s="401"/>
      <c r="P57" s="355"/>
      <c r="Q57" s="379"/>
      <c r="R57" s="379"/>
      <c r="S57" s="379"/>
      <c r="T57" s="379"/>
      <c r="U57" s="379"/>
      <c r="V57" s="593" t="s">
        <v>2</v>
      </c>
      <c r="W57" s="594">
        <v>91999909</v>
      </c>
      <c r="X57" s="595" t="s">
        <v>817</v>
      </c>
      <c r="Y57" s="595" t="s">
        <v>819</v>
      </c>
      <c r="Z57" s="596" t="s">
        <v>821</v>
      </c>
      <c r="AA57" s="592">
        <v>3500000</v>
      </c>
      <c r="AB57" s="595"/>
      <c r="AC57" s="597"/>
      <c r="AD57" s="293"/>
      <c r="AE57" s="293"/>
    </row>
    <row r="58" spans="1:31" ht="15.6">
      <c r="A58" s="411" t="s">
        <v>62</v>
      </c>
      <c r="B58" s="374"/>
      <c r="C58" s="405"/>
      <c r="D58" s="405"/>
      <c r="E58" s="370"/>
      <c r="F58" s="405"/>
      <c r="G58" s="405"/>
      <c r="H58" s="406"/>
      <c r="I58" s="405"/>
      <c r="J58" s="405"/>
      <c r="K58" s="370"/>
      <c r="L58" s="370"/>
      <c r="M58" s="370"/>
      <c r="N58" s="370"/>
      <c r="O58" s="383"/>
      <c r="P58" s="383"/>
      <c r="Q58" s="379"/>
      <c r="R58" s="379"/>
      <c r="S58" s="379"/>
      <c r="T58" s="379"/>
      <c r="U58" s="379"/>
      <c r="V58" s="593" t="s">
        <v>2</v>
      </c>
      <c r="W58" s="594">
        <v>91999910</v>
      </c>
      <c r="X58" s="595" t="s">
        <v>817</v>
      </c>
      <c r="Y58" s="595" t="s">
        <v>819</v>
      </c>
      <c r="Z58" s="596" t="s">
        <v>821</v>
      </c>
      <c r="AA58" s="592">
        <v>3500000</v>
      </c>
      <c r="AB58" s="598"/>
      <c r="AC58" s="599"/>
      <c r="AD58" s="293"/>
      <c r="AE58" s="293"/>
    </row>
    <row r="59" spans="1:31">
      <c r="A59" s="424" t="s">
        <v>573</v>
      </c>
      <c r="B59" s="332">
        <f>ROUND(MIN(B$96,29800000)*'New Hire'!C57,0)</f>
        <v>2142000</v>
      </c>
      <c r="C59" s="332">
        <f>ROUND(MIN(C$96,29800000)*'New Hire'!D57,0)</f>
        <v>2023000</v>
      </c>
      <c r="D59" s="332"/>
      <c r="E59" s="332">
        <f>ROUND(MIN(E$96,29800000)*'New Hire'!F57,0)</f>
        <v>2465000</v>
      </c>
      <c r="F59" s="332">
        <f>ROUND(MIN(F$96,29800000)*'New Hire'!G57,0)</f>
        <v>0</v>
      </c>
      <c r="G59" s="332">
        <f>ROUND(MIN(G$96,29800000)*'New Hire'!H57,0)</f>
        <v>0</v>
      </c>
      <c r="H59" s="332">
        <f>ROUND(MIN(H$96,29800000)*'New Hire'!I57,0)</f>
        <v>894000</v>
      </c>
      <c r="I59" s="332">
        <f>ROUND(MIN(I$96,29800000)*'New Hire'!J57,0)</f>
        <v>149000</v>
      </c>
      <c r="J59" s="332">
        <f>ROUND(MIN(J$96,29800000)*'New Hire'!K57,0)</f>
        <v>5066000</v>
      </c>
      <c r="K59" s="332">
        <f>ROUND(MIN(K$96,29800000)*'New Hire'!L57,0)</f>
        <v>0</v>
      </c>
      <c r="L59" s="332">
        <f>ROUND(MIN(L$96,29800000)*'New Hire'!M57,0)</f>
        <v>2550000</v>
      </c>
      <c r="M59" s="332">
        <f>ROUND(MIN(M$96,29800000)*'New Hire'!N57,0)</f>
        <v>0</v>
      </c>
      <c r="N59" s="332">
        <f>ROUND(MIN(N$96,29800000)*'New Hire'!O57,0)</f>
        <v>0</v>
      </c>
      <c r="O59" s="332">
        <f>ROUND(MIN(O$96,29800000)*'New Hire'!P57,0)</f>
        <v>0</v>
      </c>
      <c r="P59" s="346">
        <f>SUM(B59:O59)</f>
        <v>15289000</v>
      </c>
      <c r="Q59" s="379"/>
      <c r="R59" s="379"/>
      <c r="S59" s="379"/>
      <c r="T59" s="379"/>
      <c r="U59" s="379"/>
      <c r="V59" s="593" t="s">
        <v>2</v>
      </c>
      <c r="W59" s="594">
        <v>91999911</v>
      </c>
      <c r="X59" s="595" t="s">
        <v>817</v>
      </c>
      <c r="Y59" s="595" t="s">
        <v>819</v>
      </c>
      <c r="Z59" s="596" t="s">
        <v>821</v>
      </c>
      <c r="AA59" s="592">
        <v>3500000</v>
      </c>
      <c r="AB59" s="598"/>
      <c r="AC59" s="599"/>
      <c r="AD59" s="293"/>
      <c r="AE59" s="293"/>
    </row>
    <row r="60" spans="1:31">
      <c r="A60" s="445" t="s">
        <v>574</v>
      </c>
      <c r="B60" s="332">
        <f>ROUND(MIN(B$96,83600000)*'New Hire'!C60,0)</f>
        <v>126000</v>
      </c>
      <c r="C60" s="332">
        <f>ROUND(MIN(C$96,83600000)*'New Hire'!D60,0)</f>
        <v>115600</v>
      </c>
      <c r="D60" s="332"/>
      <c r="E60" s="332">
        <f>ROUND(MIN(E$96,83600000)*'New Hire'!F60,0)</f>
        <v>145000</v>
      </c>
      <c r="F60" s="332">
        <f>ROUND(MIN(F$96,83600000)*'New Hire'!G60,0)</f>
        <v>0</v>
      </c>
      <c r="G60" s="332">
        <f>ROUND(MIN(G$96,83600000)*'New Hire'!H60,0)</f>
        <v>0</v>
      </c>
      <c r="H60" s="332">
        <f>ROUND(MIN(H$96,83600000)*'New Hire'!I60,0)</f>
        <v>0</v>
      </c>
      <c r="I60" s="332">
        <f>ROUND(MIN(I$96,83600000)*'New Hire'!J60,0)</f>
        <v>0</v>
      </c>
      <c r="J60" s="332">
        <f>ROUND(MIN(J$96,83600000)*'New Hire'!K60,0)</f>
        <v>750000</v>
      </c>
      <c r="K60" s="332">
        <f>ROUND(MIN(K$96,83600000)*'New Hire'!L60,0)</f>
        <v>0</v>
      </c>
      <c r="L60" s="332">
        <f>ROUND(MIN(L$96,83600000)*'New Hire'!M60,0)</f>
        <v>150000</v>
      </c>
      <c r="M60" s="332">
        <f>ROUND(MIN(M$96,83600000)*'New Hire'!N60,0)</f>
        <v>0</v>
      </c>
      <c r="N60" s="332">
        <f>ROUND(MIN(N$96,83600000)*'New Hire'!O60,0)</f>
        <v>0</v>
      </c>
      <c r="O60" s="332">
        <f>ROUND(MIN(O$96,83600000)*'New Hire'!P60,0)</f>
        <v>0</v>
      </c>
      <c r="P60" s="346">
        <f>SUM(B60:O60)</f>
        <v>1286600</v>
      </c>
      <c r="Q60" s="379"/>
      <c r="R60" s="379"/>
      <c r="S60" s="379"/>
      <c r="T60" s="379"/>
      <c r="U60" s="379"/>
      <c r="V60" s="593" t="s">
        <v>2</v>
      </c>
      <c r="W60" s="594">
        <v>91999912</v>
      </c>
      <c r="X60" s="595" t="s">
        <v>817</v>
      </c>
      <c r="Y60" s="595" t="s">
        <v>819</v>
      </c>
      <c r="Z60" s="596" t="s">
        <v>821</v>
      </c>
      <c r="AA60" s="592">
        <v>3500000</v>
      </c>
      <c r="AB60" s="598"/>
      <c r="AC60" s="599"/>
      <c r="AD60" s="293"/>
      <c r="AE60" s="293"/>
    </row>
    <row r="61" spans="1:31">
      <c r="A61" s="445" t="s">
        <v>575</v>
      </c>
      <c r="B61" s="332">
        <f>ROUND(MIN(B$96,29800000)*'New Hire'!C63,0)</f>
        <v>378000</v>
      </c>
      <c r="C61" s="332">
        <f>ROUND(MIN(C$96,29800000)*'New Hire'!D63,0)</f>
        <v>346800</v>
      </c>
      <c r="D61" s="332"/>
      <c r="E61" s="332">
        <f>ROUND(MIN(E$96,29800000)*'New Hire'!F63,0)</f>
        <v>435000</v>
      </c>
      <c r="F61" s="332">
        <f>ROUND(MIN(F$96,29800000)*'New Hire'!G63,0)</f>
        <v>0</v>
      </c>
      <c r="G61" s="332">
        <f>ROUND(MIN(G$96,29800000)*'New Hire'!H63,0)</f>
        <v>0</v>
      </c>
      <c r="H61" s="332">
        <f>ROUND(MIN(H$96,29800000)*'New Hire'!I63,0)</f>
        <v>894000</v>
      </c>
      <c r="I61" s="332">
        <f>ROUND(MIN(I$96,29800000)*'New Hire'!J63,0)</f>
        <v>894000</v>
      </c>
      <c r="J61" s="332">
        <f>ROUND(MIN(J$96,29800000)*'New Hire'!K63,0)</f>
        <v>894000</v>
      </c>
      <c r="K61" s="332">
        <f>ROUND(MIN(K$96,29800000)*'New Hire'!L63,0)</f>
        <v>0</v>
      </c>
      <c r="L61" s="332">
        <f>ROUND(MIN(L$96,29800000)*'New Hire'!M63,0)</f>
        <v>450000</v>
      </c>
      <c r="M61" s="332">
        <f>ROUND(MIN(M$96,29800000)*'New Hire'!N63,0)</f>
        <v>0</v>
      </c>
      <c r="N61" s="332">
        <f>ROUND(MIN(N$96,29800000)*'New Hire'!O63,0)</f>
        <v>0</v>
      </c>
      <c r="O61" s="332">
        <f>ROUND(MIN(O$96,29800000)*'New Hire'!P63,0)</f>
        <v>0</v>
      </c>
      <c r="P61" s="346">
        <f>SUM(B61:O61)</f>
        <v>4291800</v>
      </c>
      <c r="Q61" s="341"/>
      <c r="R61" s="341"/>
      <c r="S61" s="341"/>
      <c r="T61" s="341"/>
      <c r="U61" s="341"/>
      <c r="V61" s="593" t="s">
        <v>2</v>
      </c>
      <c r="W61" s="594">
        <v>91999913</v>
      </c>
      <c r="X61" s="595" t="s">
        <v>817</v>
      </c>
      <c r="Y61" s="595" t="s">
        <v>819</v>
      </c>
      <c r="Z61" s="596" t="s">
        <v>821</v>
      </c>
      <c r="AA61" s="592">
        <v>3500000</v>
      </c>
      <c r="AB61" s="598"/>
      <c r="AC61" s="599"/>
      <c r="AD61" s="293"/>
      <c r="AE61" s="293"/>
    </row>
    <row r="62" spans="1:31">
      <c r="A62" s="445" t="s">
        <v>1131</v>
      </c>
      <c r="B62" s="332">
        <f>ROUND(MIN(B96,29800000)*2%,0)</f>
        <v>252000</v>
      </c>
      <c r="C62" s="332">
        <f>ROUND(MIN(C96,29800000)*2%,0)</f>
        <v>231200</v>
      </c>
      <c r="D62" s="332"/>
      <c r="E62" s="332">
        <f t="shared" ref="E62:O62" si="25">ROUND(MIN(E96,29800000)*2%,0)</f>
        <v>290000</v>
      </c>
      <c r="F62" s="332">
        <f t="shared" si="25"/>
        <v>390000</v>
      </c>
      <c r="G62" s="332">
        <f t="shared" si="25"/>
        <v>0</v>
      </c>
      <c r="H62" s="332">
        <f t="shared" si="25"/>
        <v>596000</v>
      </c>
      <c r="I62" s="332">
        <f t="shared" si="25"/>
        <v>596000</v>
      </c>
      <c r="J62" s="332">
        <f t="shared" si="25"/>
        <v>596000</v>
      </c>
      <c r="K62" s="332">
        <f t="shared" si="25"/>
        <v>330000</v>
      </c>
      <c r="L62" s="332">
        <f t="shared" si="25"/>
        <v>300000</v>
      </c>
      <c r="M62" s="332">
        <f t="shared" si="25"/>
        <v>280000</v>
      </c>
      <c r="N62" s="332">
        <f t="shared" si="25"/>
        <v>287000</v>
      </c>
      <c r="O62" s="400">
        <f t="shared" si="25"/>
        <v>0</v>
      </c>
      <c r="P62" s="355">
        <f t="shared" ref="P62" si="26">SUM(B62:O62)-J62</f>
        <v>3552200</v>
      </c>
      <c r="Q62" s="379"/>
      <c r="R62" s="379"/>
      <c r="S62" s="379"/>
      <c r="T62" s="379"/>
      <c r="U62" s="379"/>
      <c r="V62" s="593" t="s">
        <v>2</v>
      </c>
      <c r="W62" s="594">
        <v>91999901</v>
      </c>
      <c r="X62" s="595" t="s">
        <v>818</v>
      </c>
      <c r="Y62" s="595" t="s">
        <v>820</v>
      </c>
      <c r="Z62" s="596">
        <v>3210</v>
      </c>
      <c r="AA62" s="592">
        <v>4000000</v>
      </c>
      <c r="AB62" s="595"/>
      <c r="AC62" s="597"/>
    </row>
    <row r="63" spans="1:31">
      <c r="A63" s="412"/>
      <c r="B63" s="331"/>
      <c r="C63" s="332"/>
      <c r="D63" s="332"/>
      <c r="E63" s="340"/>
      <c r="F63" s="332"/>
      <c r="G63" s="332"/>
      <c r="H63" s="332"/>
      <c r="I63" s="332"/>
      <c r="J63" s="332"/>
      <c r="K63" s="340"/>
      <c r="L63" s="340"/>
      <c r="M63" s="340"/>
      <c r="N63" s="340"/>
      <c r="O63" s="401"/>
      <c r="P63" s="346"/>
      <c r="Q63" s="341"/>
      <c r="R63" s="341"/>
      <c r="S63" s="341"/>
      <c r="T63" s="341"/>
      <c r="U63" s="341"/>
      <c r="V63" s="593" t="s">
        <v>2</v>
      </c>
      <c r="W63" s="594">
        <v>91999902</v>
      </c>
      <c r="X63" s="595" t="s">
        <v>818</v>
      </c>
      <c r="Y63" s="595" t="s">
        <v>820</v>
      </c>
      <c r="Z63" s="596">
        <v>3210</v>
      </c>
      <c r="AA63" s="592">
        <v>4000000</v>
      </c>
      <c r="AB63" s="595"/>
      <c r="AC63" s="597"/>
    </row>
    <row r="64" spans="1:31" ht="15.6">
      <c r="A64" s="411" t="s">
        <v>475</v>
      </c>
      <c r="B64" s="331"/>
      <c r="C64" s="332"/>
      <c r="D64" s="332"/>
      <c r="E64" s="340"/>
      <c r="F64" s="332"/>
      <c r="G64" s="332"/>
      <c r="H64" s="332"/>
      <c r="I64" s="332"/>
      <c r="J64" s="332"/>
      <c r="K64" s="340"/>
      <c r="L64" s="340"/>
      <c r="M64" s="340"/>
      <c r="N64" s="340"/>
      <c r="O64" s="401"/>
      <c r="P64" s="346"/>
      <c r="Q64" s="341"/>
      <c r="R64" s="341"/>
      <c r="S64" s="341"/>
      <c r="T64" s="341"/>
      <c r="U64" s="341"/>
      <c r="V64" s="593" t="s">
        <v>2</v>
      </c>
      <c r="W64" s="594">
        <v>91999904</v>
      </c>
      <c r="X64" s="595" t="s">
        <v>817</v>
      </c>
      <c r="Y64" s="595" t="s">
        <v>819</v>
      </c>
      <c r="Z64" s="596">
        <v>3210</v>
      </c>
      <c r="AA64" s="592">
        <v>4000000</v>
      </c>
      <c r="AB64" s="595"/>
      <c r="AC64" s="597"/>
    </row>
    <row r="65" spans="1:31">
      <c r="A65" s="445" t="s">
        <v>476</v>
      </c>
      <c r="B65" s="332">
        <f>IF(OR(B11="1",B11="P"),ROUND(B122*B87,0),0)+'UAT7-Jul'!B68</f>
        <v>3823135</v>
      </c>
      <c r="C65" s="332">
        <f>IF(OR(C11="1",C11="P"),ROUND(C122*C87,0),0)+'UAT7-Jul'!C68</f>
        <v>3048955</v>
      </c>
      <c r="D65" s="332">
        <f>IF(OR(D11="1",D11="P"),ROUND(D122*D87,0),0)+'UAT7-Jul'!D68</f>
        <v>0</v>
      </c>
      <c r="E65" s="332">
        <f>IF(OR(E11="1",E11="P"),ROUND(E122*E87,0),0)+'UAT7-Jul'!E68</f>
        <v>2662836</v>
      </c>
      <c r="F65" s="332">
        <f>IF(OR(F11="1",F11="P"),ROUND(F122*F87,0),0)+'UAT7-Jul'!F68</f>
        <v>0</v>
      </c>
      <c r="G65" s="332">
        <f>IF(OR(G11="1",G11="P"),ROUND(G122*G87,0),0)+'UAT7-Jul'!G68</f>
        <v>0</v>
      </c>
      <c r="H65" s="332">
        <f>IF(OR(H11="1",H11="P"),ROUND(H122*H87,0),0)+'UAT7-Jul'!H68</f>
        <v>0</v>
      </c>
      <c r="I65" s="332">
        <f>IF(OR(I11="1",I11="P"),ROUND(I122*I87,0),0)+'UAT7-Jul'!I68</f>
        <v>0</v>
      </c>
      <c r="J65" s="332">
        <f>IF(OR(J11="1",J11="P"),ROUND(J122*J87,0),0)+'UAT7-Jul'!J68</f>
        <v>28538660</v>
      </c>
      <c r="K65" s="332">
        <f>IF(OR(K11="1",K11="P"),ROUND(K122*K87,0),0)+'UAT7-Jul'!K68</f>
        <v>5818168</v>
      </c>
      <c r="L65" s="332">
        <f>IF(OR(L11="1",L11="P"),ROUND(L122*L87,0),0)+'UAT7-Jul'!L68</f>
        <v>40301119</v>
      </c>
      <c r="M65" s="332">
        <f>IF(OR(M11="1",M11="P"),ROUND(M122*M87,0),0)+'UAT7-Jul'!M68</f>
        <v>0</v>
      </c>
      <c r="N65" s="332">
        <f>IF(OR(N11="1",N11="P"),ROUND(N122*N87,0),0)+'UAT7-Jul'!N68</f>
        <v>0</v>
      </c>
      <c r="O65" s="332">
        <f>IF(OR(O11="1",O11="P"),ROUND(O122*O87,0),0)+'UAT7-Jul'!O68</f>
        <v>1517242</v>
      </c>
      <c r="P65" s="346">
        <f>SUM(B65:O65)</f>
        <v>85710115</v>
      </c>
      <c r="Q65" s="481"/>
      <c r="R65" s="481"/>
      <c r="S65" s="379"/>
      <c r="T65" s="379"/>
      <c r="U65" s="379"/>
      <c r="V65" s="593" t="s">
        <v>2</v>
      </c>
      <c r="W65" s="594">
        <v>91999905</v>
      </c>
      <c r="X65" s="595" t="s">
        <v>817</v>
      </c>
      <c r="Y65" s="595" t="s">
        <v>819</v>
      </c>
      <c r="Z65" s="596">
        <v>3210</v>
      </c>
      <c r="AA65" s="592">
        <v>4000000</v>
      </c>
      <c r="AB65" s="595"/>
      <c r="AC65" s="597"/>
    </row>
    <row r="66" spans="1:31">
      <c r="A66" s="445" t="s">
        <v>484</v>
      </c>
      <c r="B66" s="617">
        <f>'UAT7-Jul'!B69</f>
        <v>0</v>
      </c>
      <c r="C66" s="617">
        <f>'UAT7-Jul'!C69</f>
        <v>2.5</v>
      </c>
      <c r="D66" s="617"/>
      <c r="E66" s="617">
        <f>'UAT7-Jul'!E69</f>
        <v>0</v>
      </c>
      <c r="F66" s="617">
        <f>'UAT7-Jul'!F69</f>
        <v>0</v>
      </c>
      <c r="G66" s="617">
        <f>'UAT7-Jul'!G69</f>
        <v>0</v>
      </c>
      <c r="H66" s="617">
        <f>'UAT7-Jul'!H69</f>
        <v>5</v>
      </c>
      <c r="I66" s="617">
        <f>'UAT7-Jul'!I69</f>
        <v>0.5</v>
      </c>
      <c r="J66" s="617">
        <f>'UAT7-Jul'!J69</f>
        <v>0</v>
      </c>
      <c r="K66" s="617">
        <f>'UAT7-Jul'!K69</f>
        <v>0</v>
      </c>
      <c r="L66" s="617">
        <f>'UAT7-Jul'!L69</f>
        <v>0</v>
      </c>
      <c r="M66" s="617">
        <f>'UAT7-Jul'!M69</f>
        <v>0</v>
      </c>
      <c r="N66" s="617">
        <f>'UAT7-Jul'!N69</f>
        <v>1.5</v>
      </c>
      <c r="O66" s="619">
        <f>'UAT7-Jul'!O69</f>
        <v>0</v>
      </c>
      <c r="P66" s="618">
        <f>SUM(B66:O66)</f>
        <v>9.5</v>
      </c>
      <c r="Q66" s="341"/>
      <c r="R66" s="341"/>
      <c r="S66" s="341"/>
      <c r="T66" s="341"/>
      <c r="U66" s="341"/>
      <c r="V66" s="593" t="s">
        <v>2</v>
      </c>
      <c r="W66" s="594">
        <v>91999907</v>
      </c>
      <c r="X66" s="595" t="s">
        <v>817</v>
      </c>
      <c r="Y66" s="595" t="s">
        <v>819</v>
      </c>
      <c r="Z66" s="596">
        <v>3210</v>
      </c>
      <c r="AA66" s="592">
        <v>225</v>
      </c>
      <c r="AB66" s="595" t="s">
        <v>618</v>
      </c>
      <c r="AC66" s="597"/>
    </row>
    <row r="67" spans="1:31">
      <c r="A67" s="445" t="s">
        <v>587</v>
      </c>
      <c r="B67" s="332">
        <f>B97+'UAT7-Jul'!B70-'UAT2-Feb'!B102</f>
        <v>53530000</v>
      </c>
      <c r="C67" s="332">
        <f>C97+'UAT7-Jul'!C70-'UAT2-Feb'!C102</f>
        <v>48460000</v>
      </c>
      <c r="D67" s="332"/>
      <c r="E67" s="332">
        <f>E97+'UAT7-Jul'!E70-'UAT2-Feb'!E102</f>
        <v>65663333</v>
      </c>
      <c r="F67" s="332">
        <f>F97+'UAT7-Jul'!F70-'UAT2-Feb'!F102</f>
        <v>96730000</v>
      </c>
      <c r="G67" s="332">
        <f>G97+'UAT7-Jul'!G70-'UAT2-Feb'!G102</f>
        <v>0</v>
      </c>
      <c r="H67" s="332">
        <f>H97+'UAT7-Jul'!H70-'UAT2-Feb'!H102</f>
        <v>693829500</v>
      </c>
      <c r="I67" s="332">
        <f>I97+'UAT7-Jul'!I70-'UAT2-Feb'!I102</f>
        <v>533715000</v>
      </c>
      <c r="J67" s="332">
        <f>J97+'UAT7-Jul'!J70-'UAT2-Feb'!J102</f>
        <v>416230000</v>
      </c>
      <c r="K67" s="332">
        <f>K97+'UAT7-Jul'!K70-'UAT2-Feb'!K102</f>
        <v>76930000</v>
      </c>
      <c r="L67" s="332">
        <f>L97+'UAT7-Jul'!L70-'UAT2-Feb'!L102</f>
        <v>311230000</v>
      </c>
      <c r="M67" s="332">
        <f>M97+'UAT7-Jul'!M70-'UAT2-Feb'!M102</f>
        <v>60530000</v>
      </c>
      <c r="N67" s="332">
        <f>N97+'UAT7-Jul'!N70-'UAT2-Feb'!N102</f>
        <v>66280000</v>
      </c>
      <c r="O67" s="400">
        <f>O97+'UAT7-Jul'!O70-'UAT2-Feb'!O102</f>
        <v>18000000</v>
      </c>
      <c r="P67" s="346">
        <f>SUM(B67:O67)</f>
        <v>2441127833</v>
      </c>
      <c r="V67" s="593" t="s">
        <v>2</v>
      </c>
      <c r="W67" s="594">
        <v>91999908</v>
      </c>
      <c r="X67" s="595" t="s">
        <v>817</v>
      </c>
      <c r="Y67" s="595" t="s">
        <v>819</v>
      </c>
      <c r="Z67" s="596">
        <v>3210</v>
      </c>
      <c r="AA67" s="592">
        <v>225</v>
      </c>
      <c r="AB67" s="595" t="s">
        <v>618</v>
      </c>
      <c r="AC67" s="597"/>
    </row>
    <row r="68" spans="1:31">
      <c r="A68" s="445" t="s">
        <v>1207</v>
      </c>
      <c r="B68" s="7">
        <v>8</v>
      </c>
      <c r="C68" s="7"/>
      <c r="D68" s="7"/>
      <c r="E68" s="7">
        <v>15</v>
      </c>
      <c r="F68" s="7"/>
      <c r="G68" s="7"/>
      <c r="H68" s="7"/>
      <c r="I68" s="7"/>
      <c r="J68" s="7">
        <v>8</v>
      </c>
      <c r="K68" s="7"/>
      <c r="L68" s="7"/>
      <c r="M68" s="7">
        <v>90</v>
      </c>
      <c r="N68" s="7">
        <v>10</v>
      </c>
      <c r="O68" s="12"/>
      <c r="P68" s="478">
        <f>SUM(B68:O68)</f>
        <v>131</v>
      </c>
      <c r="Q68" s="341"/>
      <c r="R68" s="482"/>
      <c r="S68" s="341"/>
      <c r="T68" s="341"/>
      <c r="U68" s="341"/>
      <c r="V68" s="593" t="s">
        <v>2</v>
      </c>
      <c r="W68" s="594">
        <v>91999909</v>
      </c>
      <c r="X68" s="595" t="s">
        <v>817</v>
      </c>
      <c r="Y68" s="595" t="s">
        <v>819</v>
      </c>
      <c r="Z68" s="596">
        <v>3210</v>
      </c>
      <c r="AA68" s="592">
        <v>4000000</v>
      </c>
      <c r="AB68" s="595"/>
      <c r="AC68" s="597"/>
    </row>
    <row r="69" spans="1:31">
      <c r="A69" s="412"/>
      <c r="B69" s="331"/>
      <c r="C69" s="332"/>
      <c r="D69" s="332"/>
      <c r="E69" s="340"/>
      <c r="F69" s="332"/>
      <c r="G69" s="332"/>
      <c r="H69" s="332"/>
      <c r="I69" s="332"/>
      <c r="J69" s="332"/>
      <c r="K69" s="340"/>
      <c r="L69" s="340"/>
      <c r="M69" s="340"/>
      <c r="N69" s="340"/>
      <c r="O69" s="401"/>
      <c r="P69" s="346"/>
      <c r="Q69" s="341"/>
      <c r="R69" s="482"/>
      <c r="S69" s="341"/>
      <c r="T69" s="341"/>
      <c r="U69" s="341"/>
      <c r="V69" s="593" t="s">
        <v>2</v>
      </c>
      <c r="W69" s="594">
        <v>91999910</v>
      </c>
      <c r="X69" s="595" t="s">
        <v>817</v>
      </c>
      <c r="Y69" s="595" t="s">
        <v>819</v>
      </c>
      <c r="Z69" s="596">
        <v>3210</v>
      </c>
      <c r="AA69" s="592">
        <v>4000000</v>
      </c>
      <c r="AB69" s="598"/>
      <c r="AC69" s="599"/>
    </row>
    <row r="70" spans="1:31" ht="15.6">
      <c r="A70" s="411" t="s">
        <v>889</v>
      </c>
      <c r="B70" s="480"/>
      <c r="C70" s="480"/>
      <c r="D70" s="480"/>
      <c r="E70" s="480"/>
      <c r="F70" s="480"/>
      <c r="G70" s="480"/>
      <c r="H70" s="480"/>
      <c r="I70" s="480"/>
      <c r="J70" s="590"/>
      <c r="K70" s="480"/>
      <c r="L70" s="480"/>
      <c r="M70" s="480"/>
      <c r="N70" s="480"/>
      <c r="O70" s="588"/>
      <c r="P70" s="346"/>
      <c r="Q70" s="341"/>
      <c r="R70" s="341"/>
      <c r="S70" s="341"/>
      <c r="T70" s="341"/>
      <c r="U70" s="341"/>
      <c r="V70" s="593" t="s">
        <v>2</v>
      </c>
      <c r="W70" s="594">
        <v>91999911</v>
      </c>
      <c r="X70" s="595" t="s">
        <v>817</v>
      </c>
      <c r="Y70" s="595" t="s">
        <v>819</v>
      </c>
      <c r="Z70" s="596">
        <v>3210</v>
      </c>
      <c r="AA70" s="592">
        <v>4000000</v>
      </c>
      <c r="AB70" s="598"/>
      <c r="AC70" s="599"/>
    </row>
    <row r="71" spans="1:31">
      <c r="A71" s="474" t="s">
        <v>885</v>
      </c>
      <c r="B71" s="340">
        <f>B82*B110</f>
        <v>3230800</v>
      </c>
      <c r="C71" s="340">
        <f>C82*C110</f>
        <v>2289216</v>
      </c>
      <c r="D71" s="340"/>
      <c r="E71" s="340">
        <f t="shared" ref="E71:O71" si="27">E82*E110</f>
        <v>5076960</v>
      </c>
      <c r="F71" s="340">
        <f t="shared" si="27"/>
        <v>5907712</v>
      </c>
      <c r="G71" s="340">
        <f t="shared" si="27"/>
        <v>0</v>
      </c>
      <c r="H71" s="340">
        <f t="shared" si="27"/>
        <v>55959788</v>
      </c>
      <c r="I71" s="340">
        <f t="shared" si="27"/>
        <v>0</v>
      </c>
      <c r="J71" s="340">
        <f t="shared" si="27"/>
        <v>13961552</v>
      </c>
      <c r="K71" s="340">
        <f t="shared" si="27"/>
        <v>4615360</v>
      </c>
      <c r="L71" s="340">
        <f t="shared" si="27"/>
        <v>5307680</v>
      </c>
      <c r="M71" s="340">
        <f t="shared" si="27"/>
        <v>3230800</v>
      </c>
      <c r="N71" s="340">
        <f t="shared" si="27"/>
        <v>3692320</v>
      </c>
      <c r="O71" s="401">
        <f t="shared" si="27"/>
        <v>48600000</v>
      </c>
      <c r="P71" s="346">
        <f t="shared" ref="P71:P75" si="28">SUM(B71:O71)-J71</f>
        <v>137910636</v>
      </c>
      <c r="Q71" s="341"/>
      <c r="R71" s="341"/>
      <c r="S71" s="341"/>
      <c r="T71" s="341"/>
      <c r="U71" s="341"/>
      <c r="V71" s="593" t="s">
        <v>2</v>
      </c>
      <c r="W71" s="594">
        <v>91999912</v>
      </c>
      <c r="X71" s="595" t="s">
        <v>817</v>
      </c>
      <c r="Y71" s="595" t="s">
        <v>819</v>
      </c>
      <c r="Z71" s="596">
        <v>3210</v>
      </c>
      <c r="AA71" s="592">
        <v>4000000</v>
      </c>
      <c r="AB71" s="598"/>
      <c r="AC71" s="599"/>
    </row>
    <row r="72" spans="1:31">
      <c r="A72" s="474" t="s">
        <v>886</v>
      </c>
      <c r="B72" s="340">
        <f>B82*B109</f>
        <v>6461600</v>
      </c>
      <c r="C72" s="340">
        <f>C82*C109</f>
        <v>4578432</v>
      </c>
      <c r="D72" s="340"/>
      <c r="E72" s="340">
        <f t="shared" ref="E72:O72" si="29">E82*E109</f>
        <v>10153920</v>
      </c>
      <c r="F72" s="340">
        <f t="shared" si="29"/>
        <v>11815424</v>
      </c>
      <c r="G72" s="340">
        <f t="shared" si="29"/>
        <v>0</v>
      </c>
      <c r="H72" s="340">
        <f t="shared" si="29"/>
        <v>112655889</v>
      </c>
      <c r="I72" s="340">
        <f t="shared" si="29"/>
        <v>0</v>
      </c>
      <c r="J72" s="340">
        <f t="shared" si="29"/>
        <v>28240412</v>
      </c>
      <c r="K72" s="340">
        <f t="shared" si="29"/>
        <v>9230720</v>
      </c>
      <c r="L72" s="340">
        <f t="shared" si="29"/>
        <v>10615360</v>
      </c>
      <c r="M72" s="340">
        <f t="shared" si="29"/>
        <v>6461600</v>
      </c>
      <c r="N72" s="340">
        <f t="shared" si="29"/>
        <v>7384640</v>
      </c>
      <c r="O72" s="401">
        <f t="shared" si="29"/>
        <v>96300000</v>
      </c>
      <c r="P72" s="346">
        <f t="shared" si="28"/>
        <v>275657585</v>
      </c>
      <c r="Q72" s="341"/>
      <c r="R72" s="341"/>
      <c r="S72" s="341"/>
      <c r="T72" s="341"/>
      <c r="U72" s="341"/>
      <c r="V72" s="593" t="s">
        <v>2</v>
      </c>
      <c r="W72" s="594">
        <v>91999913</v>
      </c>
      <c r="X72" s="595" t="s">
        <v>817</v>
      </c>
      <c r="Y72" s="595" t="s">
        <v>819</v>
      </c>
      <c r="Z72" s="596">
        <v>3210</v>
      </c>
      <c r="AA72" s="592">
        <v>4000000</v>
      </c>
      <c r="AB72" s="598"/>
      <c r="AC72" s="599"/>
    </row>
    <row r="73" spans="1:31">
      <c r="A73" s="474" t="s">
        <v>928</v>
      </c>
      <c r="B73" s="340" t="e">
        <f>IF(OR(B18="A",B18="B"),ROUND(B136/12,0),ROUND(B136*$B$4/12,0))+'UAT7-Jul'!B76</f>
        <v>#REF!</v>
      </c>
      <c r="C73" s="340" t="e">
        <f>IF(OR(C18="A",C18="B"),ROUND(C136/12,0),ROUND(C136*$B$4/12,0))+'UAT7-Jul'!C76</f>
        <v>#REF!</v>
      </c>
      <c r="D73" s="340"/>
      <c r="E73" s="340" t="e">
        <f>IF(OR(E18="A",E18="B"),ROUND(E136/12,0),ROUND(E136*$B$4/12,0))+'UAT7-Jul'!E76</f>
        <v>#REF!</v>
      </c>
      <c r="F73" s="340" t="e">
        <f>IF(OR(F18="A",F18="B"),ROUND(F136/12,0),ROUND(F136*$B$4/12,0))+'UAT7-Jul'!F76</f>
        <v>#REF!</v>
      </c>
      <c r="G73" s="340" t="e">
        <f>IF(OR(G18="A",G18="B"),ROUND(G136/12,0),ROUND(G136*$B$4/12,0))+'UAT7-Jul'!G76</f>
        <v>#REF!</v>
      </c>
      <c r="H73" s="340" t="e">
        <f>IF(OR(H18="A",H18="B"),ROUND(H136/12,0),ROUND(H136*$B$4/12,0))+'UAT7-Jul'!H76</f>
        <v>#REF!</v>
      </c>
      <c r="I73" s="340" t="e">
        <f>IF(OR(I18="A",I18="B"),ROUND(I136/12,0),ROUND(I136*$B$4/12,0))+'UAT7-Jul'!I76</f>
        <v>#REF!</v>
      </c>
      <c r="J73" s="340" t="e">
        <f>IF(OR(J18="A",J18="B"),ROUND(J136/12,0),ROUND(J136*$B$4/12,0))+'UAT7-Jul'!J76</f>
        <v>#REF!</v>
      </c>
      <c r="K73" s="340" t="e">
        <f>IF(OR(K18="A",K18="B"),ROUND(K136/12,0),ROUND(K136*$B$4/12,0))+'UAT7-Jul'!K76</f>
        <v>#REF!</v>
      </c>
      <c r="L73" s="340" t="e">
        <f>IF(OR(L18="A",L18="B"),ROUND(L136/12,0),ROUND(L136*$B$4/12,0))+'UAT7-Jul'!L76</f>
        <v>#REF!</v>
      </c>
      <c r="M73" s="340" t="e">
        <f>IF(OR(M18="A",M18="B"),ROUND(M136/12,0),ROUND(M136*$B$4/12,0))+'UAT7-Jul'!M76</f>
        <v>#REF!</v>
      </c>
      <c r="N73" s="340" t="e">
        <f>IF(OR(N18="A",N18="B"),ROUND(N136/12,0),ROUND(N136*$B$4/12,0))+'UAT7-Jul'!N76</f>
        <v>#REF!</v>
      </c>
      <c r="O73" s="401" t="e">
        <f>IF(OR(O18="A",O18="B"),ROUND(O136/12,0),ROUND(O136*$B$4/12,0))+'UAT7-Jul'!O76</f>
        <v>#REF!</v>
      </c>
      <c r="P73" s="346" t="e">
        <f t="shared" si="28"/>
        <v>#REF!</v>
      </c>
      <c r="Q73" s="481"/>
      <c r="R73" s="481"/>
      <c r="S73" s="379"/>
      <c r="T73" s="379"/>
      <c r="U73" s="379"/>
      <c r="V73" s="593" t="s">
        <v>2</v>
      </c>
      <c r="W73" s="594">
        <v>91999901</v>
      </c>
      <c r="X73" s="595" t="s">
        <v>818</v>
      </c>
      <c r="Y73" s="595" t="s">
        <v>820</v>
      </c>
      <c r="Z73" s="596">
        <v>3501</v>
      </c>
      <c r="AA73" s="592">
        <v>2500000</v>
      </c>
      <c r="AB73" s="595"/>
      <c r="AC73" s="597"/>
    </row>
    <row r="74" spans="1:31">
      <c r="A74" s="474" t="s">
        <v>887</v>
      </c>
      <c r="B74" s="340"/>
      <c r="C74" s="340">
        <f>ROUND((C122+C128+C129)/12*AB39*C14/261,0)</f>
        <v>5034</v>
      </c>
      <c r="D74" s="340"/>
      <c r="E74" s="340"/>
      <c r="F74" s="340"/>
      <c r="G74" s="340"/>
      <c r="H74" s="340">
        <f>ROUND((H122*B4+H128+H129)/12*AB40*H14/261,0)</f>
        <v>502034</v>
      </c>
      <c r="I74" s="340"/>
      <c r="J74" s="453"/>
      <c r="K74" s="340"/>
      <c r="L74" s="340"/>
      <c r="M74" s="340"/>
      <c r="N74" s="340"/>
      <c r="O74" s="401"/>
      <c r="P74" s="346">
        <f t="shared" si="28"/>
        <v>507068</v>
      </c>
      <c r="Q74" s="341"/>
      <c r="R74" s="341"/>
      <c r="S74" s="341"/>
      <c r="T74" s="341"/>
      <c r="U74" s="341"/>
      <c r="V74" s="593" t="s">
        <v>2</v>
      </c>
      <c r="W74" s="594">
        <v>91999902</v>
      </c>
      <c r="X74" s="595" t="s">
        <v>817</v>
      </c>
      <c r="Y74" s="595" t="s">
        <v>819</v>
      </c>
      <c r="Z74" s="596">
        <v>3501</v>
      </c>
      <c r="AA74" s="592">
        <v>2500000</v>
      </c>
      <c r="AB74" s="595"/>
      <c r="AC74" s="597"/>
    </row>
    <row r="75" spans="1:31">
      <c r="A75" s="474" t="s">
        <v>888</v>
      </c>
      <c r="B75" s="340">
        <f>IF(OR(B18="A",B18="B"),ROUND(B66*B122*50%,0),ROUND(B66*B122*$B$4*50%,0))</f>
        <v>0</v>
      </c>
      <c r="C75" s="340">
        <f>IF(OR(C18="A",C18="B"),ROUND(C66*C122*50%,0),ROUND(C66*C122*$B$4*50%,0))</f>
        <v>7750000</v>
      </c>
      <c r="D75" s="340"/>
      <c r="E75" s="340">
        <f t="shared" ref="E75:O75" si="30">IF(OR(E18="A",E18="B"),ROUND(E66*E122*50%,0),ROUND(E66*E122*$B$4*50%,0))</f>
        <v>0</v>
      </c>
      <c r="F75" s="340">
        <f t="shared" si="30"/>
        <v>0</v>
      </c>
      <c r="G75" s="340">
        <f t="shared" si="30"/>
        <v>0</v>
      </c>
      <c r="H75" s="340">
        <f t="shared" si="30"/>
        <v>319068750</v>
      </c>
      <c r="I75" s="340">
        <f t="shared" si="30"/>
        <v>24365250</v>
      </c>
      <c r="J75" s="340">
        <f t="shared" si="30"/>
        <v>0</v>
      </c>
      <c r="K75" s="340">
        <f t="shared" si="30"/>
        <v>0</v>
      </c>
      <c r="L75" s="340">
        <f t="shared" si="30"/>
        <v>0</v>
      </c>
      <c r="M75" s="340">
        <f t="shared" si="30"/>
        <v>0</v>
      </c>
      <c r="N75" s="340">
        <f t="shared" si="30"/>
        <v>6000000</v>
      </c>
      <c r="O75" s="401">
        <f t="shared" si="30"/>
        <v>0</v>
      </c>
      <c r="P75" s="346">
        <f t="shared" si="28"/>
        <v>357184000</v>
      </c>
      <c r="Q75" s="341"/>
      <c r="R75" s="341"/>
      <c r="S75" s="341"/>
      <c r="T75" s="341"/>
      <c r="U75" s="341"/>
      <c r="V75" s="593" t="s">
        <v>2</v>
      </c>
      <c r="W75" s="594">
        <v>91999904</v>
      </c>
      <c r="X75" s="595" t="s">
        <v>817</v>
      </c>
      <c r="Y75" s="595" t="s">
        <v>819</v>
      </c>
      <c r="Z75" s="596">
        <v>3501</v>
      </c>
      <c r="AA75" s="592">
        <v>2500000</v>
      </c>
      <c r="AB75" s="595"/>
      <c r="AC75" s="597"/>
    </row>
    <row r="76" spans="1:31">
      <c r="A76" s="474"/>
      <c r="B76" s="340"/>
      <c r="C76" s="340"/>
      <c r="D76" s="340"/>
      <c r="E76" s="340"/>
      <c r="F76" s="340"/>
      <c r="G76" s="340"/>
      <c r="H76" s="340"/>
      <c r="I76" s="340"/>
      <c r="J76" s="340"/>
      <c r="K76" s="340"/>
      <c r="L76" s="340"/>
      <c r="M76" s="340"/>
      <c r="N76" s="340"/>
      <c r="O76" s="401"/>
      <c r="P76" s="346"/>
      <c r="Q76" s="341"/>
      <c r="R76" s="341"/>
      <c r="S76" s="341"/>
      <c r="T76" s="341"/>
      <c r="U76" s="341"/>
      <c r="V76" s="593" t="s">
        <v>2</v>
      </c>
      <c r="W76" s="594">
        <v>91999905</v>
      </c>
      <c r="X76" s="595" t="s">
        <v>817</v>
      </c>
      <c r="Y76" s="595" t="s">
        <v>819</v>
      </c>
      <c r="Z76" s="596">
        <v>3501</v>
      </c>
      <c r="AA76" s="592">
        <v>2500000</v>
      </c>
      <c r="AB76" s="598"/>
      <c r="AC76" s="599"/>
    </row>
    <row r="77" spans="1:31" ht="15.6">
      <c r="A77" s="411" t="s">
        <v>704</v>
      </c>
      <c r="B77" s="331"/>
      <c r="C77" s="332"/>
      <c r="D77" s="332"/>
      <c r="E77" s="340"/>
      <c r="F77" s="332"/>
      <c r="G77" s="332"/>
      <c r="H77" s="332"/>
      <c r="I77" s="332"/>
      <c r="J77" s="332"/>
      <c r="K77" s="340"/>
      <c r="L77" s="340"/>
      <c r="M77" s="340"/>
      <c r="N77" s="340"/>
      <c r="O77" s="401"/>
      <c r="P77" s="346"/>
      <c r="Q77" s="347"/>
      <c r="R77" s="482"/>
      <c r="S77" s="341"/>
      <c r="T77" s="341"/>
      <c r="U77" s="341"/>
      <c r="V77" s="593" t="s">
        <v>2</v>
      </c>
      <c r="W77" s="594">
        <v>91999909</v>
      </c>
      <c r="X77" s="595" t="s">
        <v>817</v>
      </c>
      <c r="Y77" s="595" t="s">
        <v>819</v>
      </c>
      <c r="Z77" s="596">
        <v>3501</v>
      </c>
      <c r="AA77" s="592">
        <v>2500000</v>
      </c>
      <c r="AB77" s="598"/>
      <c r="AC77" s="599"/>
    </row>
    <row r="78" spans="1:31">
      <c r="A78" s="501" t="s">
        <v>1160</v>
      </c>
      <c r="B78" s="502"/>
      <c r="C78" s="502"/>
      <c r="D78" s="502"/>
      <c r="E78" s="502"/>
      <c r="F78" s="502"/>
      <c r="G78" s="502"/>
      <c r="H78" s="502"/>
      <c r="I78" s="502"/>
      <c r="J78" s="502"/>
      <c r="K78" s="502"/>
      <c r="L78" s="502"/>
      <c r="M78" s="502">
        <f>ROUND('UAT7-Jul'!M88*AC100*100%,0)+ROUND('UAT7-Jul'!M88*AC101*100%,0)+ROUND('UAT7-Jul'!M88*AC102*100%,0)</f>
        <v>1211550</v>
      </c>
      <c r="N78" s="502"/>
      <c r="O78" s="503"/>
      <c r="P78" s="504">
        <f t="shared" ref="P78:P79" si="31">SUM(B78:O78)</f>
        <v>1211550</v>
      </c>
      <c r="Q78" s="519" t="s">
        <v>597</v>
      </c>
      <c r="R78" s="519" t="s">
        <v>597</v>
      </c>
      <c r="S78" s="520"/>
      <c r="T78" s="521"/>
      <c r="U78" s="521"/>
      <c r="V78" s="593" t="s">
        <v>2</v>
      </c>
      <c r="W78" s="594">
        <v>91999910</v>
      </c>
      <c r="X78" s="595" t="s">
        <v>817</v>
      </c>
      <c r="Y78" s="595" t="s">
        <v>819</v>
      </c>
      <c r="Z78" s="596">
        <v>3501</v>
      </c>
      <c r="AA78" s="592">
        <v>2500000</v>
      </c>
      <c r="AB78" s="598"/>
      <c r="AC78" s="599"/>
    </row>
    <row r="79" spans="1:31">
      <c r="A79" s="527" t="s">
        <v>747</v>
      </c>
      <c r="B79" s="502"/>
      <c r="C79" s="502"/>
      <c r="D79" s="502"/>
      <c r="E79" s="502"/>
      <c r="F79" s="502"/>
      <c r="G79" s="502"/>
      <c r="H79" s="502"/>
      <c r="I79" s="502"/>
      <c r="J79" s="502"/>
      <c r="K79" s="502"/>
      <c r="L79" s="502"/>
      <c r="M79" s="502">
        <f>ROUND('UAT7-Jul'!M88*AC100*100%,0)+ROUND('UAT7-Jul'!M88*AC101*100%,0)+ROUND('UAT7-Jul'!M88*AC102*100%,0)</f>
        <v>1211550</v>
      </c>
      <c r="N79" s="502"/>
      <c r="O79" s="503"/>
      <c r="P79" s="504">
        <f t="shared" si="31"/>
        <v>1211550</v>
      </c>
      <c r="Q79" s="519" t="s">
        <v>597</v>
      </c>
      <c r="R79" s="519"/>
      <c r="S79" s="522"/>
      <c r="T79" s="522"/>
      <c r="U79" s="522"/>
      <c r="V79" s="593" t="s">
        <v>2</v>
      </c>
      <c r="W79" s="594">
        <v>91000011</v>
      </c>
      <c r="X79" s="595" t="s">
        <v>817</v>
      </c>
      <c r="Y79" s="595" t="s">
        <v>819</v>
      </c>
      <c r="Z79" s="596">
        <v>3501</v>
      </c>
      <c r="AA79" s="592">
        <v>2500000</v>
      </c>
      <c r="AB79" s="598"/>
      <c r="AC79" s="599"/>
    </row>
    <row r="80" spans="1:31" s="5" customFormat="1">
      <c r="A80" s="412"/>
      <c r="B80" s="331"/>
      <c r="C80" s="332"/>
      <c r="D80" s="332"/>
      <c r="E80" s="340"/>
      <c r="F80" s="332"/>
      <c r="G80" s="332"/>
      <c r="H80" s="332"/>
      <c r="I80" s="332"/>
      <c r="J80" s="332"/>
      <c r="K80" s="340"/>
      <c r="L80" s="340"/>
      <c r="M80" s="340"/>
      <c r="N80" s="340"/>
      <c r="O80" s="401"/>
      <c r="P80" s="346"/>
      <c r="Q80" s="347"/>
      <c r="R80" s="347"/>
      <c r="S80" s="347"/>
      <c r="T80" s="347"/>
      <c r="U80" s="347"/>
      <c r="V80" s="593" t="s">
        <v>2</v>
      </c>
      <c r="W80" s="594">
        <v>91999912</v>
      </c>
      <c r="X80" s="595" t="s">
        <v>817</v>
      </c>
      <c r="Y80" s="595" t="s">
        <v>819</v>
      </c>
      <c r="Z80" s="596">
        <v>3501</v>
      </c>
      <c r="AA80" s="592">
        <v>2500000</v>
      </c>
      <c r="AB80" s="595"/>
      <c r="AC80" s="597"/>
      <c r="AD80"/>
      <c r="AE80"/>
    </row>
    <row r="81" spans="1:31" s="5" customFormat="1" ht="15.6">
      <c r="A81" s="411" t="s">
        <v>485</v>
      </c>
      <c r="B81" s="331"/>
      <c r="C81" s="332"/>
      <c r="D81" s="332"/>
      <c r="E81" s="340"/>
      <c r="F81" s="332"/>
      <c r="G81" s="332"/>
      <c r="H81" s="332"/>
      <c r="I81" s="332"/>
      <c r="J81" s="332"/>
      <c r="K81" s="340"/>
      <c r="L81" s="340"/>
      <c r="M81" s="340"/>
      <c r="N81" s="340"/>
      <c r="O81" s="401"/>
      <c r="P81" s="346"/>
      <c r="Q81" s="347"/>
      <c r="R81" s="347"/>
      <c r="S81" s="347"/>
      <c r="T81" s="347"/>
      <c r="U81" s="347"/>
      <c r="V81" s="593" t="s">
        <v>2</v>
      </c>
      <c r="W81" s="594">
        <v>91999913</v>
      </c>
      <c r="X81" s="595" t="s">
        <v>818</v>
      </c>
      <c r="Y81" s="595" t="s">
        <v>820</v>
      </c>
      <c r="Z81" s="596">
        <v>3501</v>
      </c>
      <c r="AA81" s="592">
        <v>2500000</v>
      </c>
      <c r="AB81" s="595"/>
      <c r="AC81" s="597"/>
      <c r="AD81"/>
      <c r="AE81"/>
    </row>
    <row r="82" spans="1:31" s="5" customFormat="1">
      <c r="A82" s="445" t="s">
        <v>490</v>
      </c>
      <c r="B82" s="332">
        <f>IF(OR(B18="A",B18="B"),IF(B11&lt;&gt;"C",ROUND(B122*12/52/40,0),B123),IF(B11&lt;&gt;"C",ROUND(B122*$B$4*12/52/40,0),B123*$B$4))</f>
        <v>40385</v>
      </c>
      <c r="C82" s="332">
        <f>IF(OR(C18="A",C18="B"),IF(C11&lt;&gt;"C",ROUND(C122*12/52/40,0),C123),IF(C11&lt;&gt;"C",ROUND(C122*$B$4*12/52/40,0),C123*$B$4))</f>
        <v>35769</v>
      </c>
      <c r="D82" s="332"/>
      <c r="E82" s="332">
        <f t="shared" ref="E82:O82" si="32">IF(OR(E18="A",E18="B"),IF(E11&lt;&gt;"C",ROUND(E122*12/52/40,0),E123),IF(E11&lt;&gt;"C",ROUND(E122*$B$4*12/52/40,0),E123*$B$4))</f>
        <v>63462</v>
      </c>
      <c r="F82" s="332">
        <f t="shared" si="32"/>
        <v>92308</v>
      </c>
      <c r="G82" s="332">
        <f t="shared" si="32"/>
        <v>5801250</v>
      </c>
      <c r="H82" s="332">
        <f t="shared" si="32"/>
        <v>736313</v>
      </c>
      <c r="I82" s="332">
        <f t="shared" si="32"/>
        <v>562275</v>
      </c>
      <c r="J82" s="332">
        <f t="shared" si="32"/>
        <v>317308</v>
      </c>
      <c r="K82" s="332">
        <f t="shared" si="32"/>
        <v>57692</v>
      </c>
      <c r="L82" s="332">
        <f t="shared" si="32"/>
        <v>66346</v>
      </c>
      <c r="M82" s="332">
        <f t="shared" si="32"/>
        <v>40385</v>
      </c>
      <c r="N82" s="332">
        <f t="shared" si="32"/>
        <v>46154</v>
      </c>
      <c r="O82" s="400">
        <f t="shared" si="32"/>
        <v>900000</v>
      </c>
      <c r="P82" s="346">
        <f t="shared" ref="P82:P90" si="33">SUM(B82:O82)</f>
        <v>8759647</v>
      </c>
      <c r="Q82" s="347"/>
      <c r="R82" s="347"/>
      <c r="S82" s="347"/>
      <c r="T82" s="347"/>
      <c r="U82" s="347"/>
      <c r="V82" s="593" t="s">
        <v>2</v>
      </c>
      <c r="W82" s="594">
        <v>91999901</v>
      </c>
      <c r="X82" s="595" t="s">
        <v>817</v>
      </c>
      <c r="Y82" s="595" t="s">
        <v>819</v>
      </c>
      <c r="Z82" s="596">
        <v>3525</v>
      </c>
      <c r="AA82" s="592">
        <v>730000</v>
      </c>
      <c r="AB82" s="595"/>
      <c r="AC82" s="597"/>
      <c r="AD82"/>
      <c r="AE82"/>
    </row>
    <row r="83" spans="1:31" s="5" customFormat="1">
      <c r="A83" s="445" t="s">
        <v>501</v>
      </c>
      <c r="B83" s="332">
        <f>IF(OR(B18="A",B18="B"),ROUND(SUM(B122,B124,B125,B127)*12/52/5*B13%,0),ROUND(SUM(B122,B124,B125,B127)*12/52/5*$B$4*B13%,0))</f>
        <v>581538</v>
      </c>
      <c r="C83" s="332">
        <f>IF(OR(C18="A",C18="B"),ROUND(SUM(C122,C124,C125,C127)*12/52/5*C13%,0),ROUND(SUM(C122,C124,C125,C127)*12/52/5*$B$4*C13%,0))</f>
        <v>266769</v>
      </c>
      <c r="D83" s="332"/>
      <c r="E83" s="332">
        <f t="shared" ref="E83:O83" si="34">IF(OR(E18="A",E18="B"),ROUND(SUM(E122,E124,E125,E127)*12/52/5*E13%,0),ROUND(SUM(E122,E124,E125,E127)*12/52/5*$B$4*E13%,0))</f>
        <v>669231</v>
      </c>
      <c r="F83" s="332">
        <f t="shared" si="34"/>
        <v>900000</v>
      </c>
      <c r="G83" s="332">
        <f t="shared" si="34"/>
        <v>0</v>
      </c>
      <c r="H83" s="332">
        <f t="shared" si="34"/>
        <v>3935925</v>
      </c>
      <c r="I83" s="332">
        <f t="shared" si="34"/>
        <v>4712400</v>
      </c>
      <c r="J83" s="332">
        <f t="shared" si="34"/>
        <v>1730769</v>
      </c>
      <c r="K83" s="332">
        <f t="shared" si="34"/>
        <v>761538</v>
      </c>
      <c r="L83" s="332">
        <f t="shared" si="34"/>
        <v>692308</v>
      </c>
      <c r="M83" s="332">
        <f t="shared" si="34"/>
        <v>646154</v>
      </c>
      <c r="N83" s="332">
        <f t="shared" si="34"/>
        <v>662308</v>
      </c>
      <c r="O83" s="400">
        <f t="shared" si="34"/>
        <v>0</v>
      </c>
      <c r="P83" s="346">
        <f t="shared" si="33"/>
        <v>15558940</v>
      </c>
      <c r="Q83" s="348"/>
      <c r="R83" s="347"/>
      <c r="S83" s="347"/>
      <c r="T83" s="347"/>
      <c r="U83" s="347"/>
      <c r="V83" s="593" t="s">
        <v>2</v>
      </c>
      <c r="W83" s="594">
        <v>91999902</v>
      </c>
      <c r="X83" s="595" t="s">
        <v>817</v>
      </c>
      <c r="Y83" s="595" t="s">
        <v>819</v>
      </c>
      <c r="Z83" s="596">
        <v>3525</v>
      </c>
      <c r="AA83" s="592">
        <v>730000</v>
      </c>
      <c r="AB83" s="595"/>
      <c r="AC83" s="597"/>
      <c r="AD83"/>
      <c r="AE83"/>
    </row>
    <row r="84" spans="1:31" s="5" customFormat="1">
      <c r="A84" s="445" t="s">
        <v>502</v>
      </c>
      <c r="B84" s="332">
        <f>IF(OR(B18="A",B18="B"),ROUND(B122/B15,0),ROUND(B122*$B$4/B15,0))</f>
        <v>318182</v>
      </c>
      <c r="C84" s="332">
        <f>IF(OR(C18="A",C18="B"),ROUND(C122/C15,0),ROUND(C122*$B$4/C15,0))</f>
        <v>281818</v>
      </c>
      <c r="D84" s="332"/>
      <c r="E84" s="332">
        <f t="shared" ref="E84:O84" si="35">IF(OR(E18="A",E18="B"),ROUND(E122/E15,0),ROUND(E122*$B$4/E15,0))</f>
        <v>500000</v>
      </c>
      <c r="F84" s="332">
        <f t="shared" si="35"/>
        <v>727273</v>
      </c>
      <c r="G84" s="332">
        <f t="shared" si="35"/>
        <v>0</v>
      </c>
      <c r="H84" s="332">
        <f t="shared" si="35"/>
        <v>5801250</v>
      </c>
      <c r="I84" s="332">
        <f t="shared" si="35"/>
        <v>4430045</v>
      </c>
      <c r="J84" s="332">
        <f t="shared" si="35"/>
        <v>2500000</v>
      </c>
      <c r="K84" s="332">
        <f t="shared" si="35"/>
        <v>454545</v>
      </c>
      <c r="L84" s="332">
        <f t="shared" si="35"/>
        <v>522727</v>
      </c>
      <c r="M84" s="332">
        <f t="shared" si="35"/>
        <v>318182</v>
      </c>
      <c r="N84" s="332">
        <f t="shared" si="35"/>
        <v>363636</v>
      </c>
      <c r="O84" s="400">
        <f t="shared" si="35"/>
        <v>0</v>
      </c>
      <c r="P84" s="346">
        <f t="shared" si="33"/>
        <v>16217658</v>
      </c>
      <c r="Q84" s="347"/>
      <c r="R84" s="347"/>
      <c r="S84" s="347"/>
      <c r="T84" s="347"/>
      <c r="U84" s="347"/>
      <c r="V84" s="593" t="s">
        <v>2</v>
      </c>
      <c r="W84" s="594">
        <v>91999904</v>
      </c>
      <c r="X84" s="595" t="s">
        <v>817</v>
      </c>
      <c r="Y84" s="595" t="s">
        <v>819</v>
      </c>
      <c r="Z84" s="596">
        <v>3525</v>
      </c>
      <c r="AA84" s="592">
        <v>730000</v>
      </c>
      <c r="AB84" s="598"/>
      <c r="AC84" s="599"/>
      <c r="AD84"/>
      <c r="AE84"/>
    </row>
    <row r="85" spans="1:31" s="5" customFormat="1">
      <c r="A85" s="445" t="s">
        <v>628</v>
      </c>
      <c r="B85" s="332">
        <f>IF(OR(B18="A",B18="B"),ROUND(SUM(B124,B125,B126,B128:B130)/B15,0),ROUND(SUM(B124,B125,B126,B128:B130)*$B$4/B15,0))</f>
        <v>560455</v>
      </c>
      <c r="C85" s="332">
        <f>IF(OR(C18="A",C18="B"),ROUND(SUM(C124,C125,C126,C128:C130)/C15,0),ROUND(SUM(C124,C125,C126,C128:C130)*$B$4/C15,0))</f>
        <v>549545</v>
      </c>
      <c r="D85" s="332"/>
      <c r="E85" s="332">
        <f t="shared" ref="E85:O85" si="36">IF(OR(E18="A",E18="B"),ROUND(SUM(E124,E125,E126,E128:E130)/E15,0),ROUND(SUM(E124,E125,E126,E128:E130)*$B$4/E15,0))</f>
        <v>465000</v>
      </c>
      <c r="F85" s="332">
        <f t="shared" si="36"/>
        <v>465000</v>
      </c>
      <c r="G85" s="332">
        <f t="shared" si="36"/>
        <v>0</v>
      </c>
      <c r="H85" s="332">
        <f t="shared" si="36"/>
        <v>1977699</v>
      </c>
      <c r="I85" s="332">
        <f t="shared" si="36"/>
        <v>237324</v>
      </c>
      <c r="J85" s="332">
        <f t="shared" si="36"/>
        <v>1215000</v>
      </c>
      <c r="K85" s="332">
        <f t="shared" si="36"/>
        <v>601364</v>
      </c>
      <c r="L85" s="332">
        <f t="shared" si="36"/>
        <v>465000</v>
      </c>
      <c r="M85" s="332">
        <f t="shared" si="36"/>
        <v>624091</v>
      </c>
      <c r="N85" s="332">
        <f t="shared" si="36"/>
        <v>594545</v>
      </c>
      <c r="O85" s="400">
        <f t="shared" si="36"/>
        <v>0</v>
      </c>
      <c r="P85" s="346">
        <f t="shared" si="33"/>
        <v>7755023</v>
      </c>
      <c r="Q85" s="347"/>
      <c r="R85" s="347"/>
      <c r="S85" s="347"/>
      <c r="T85" s="347"/>
      <c r="U85" s="347"/>
      <c r="V85" s="593" t="s">
        <v>2</v>
      </c>
      <c r="W85" s="594">
        <v>91999905</v>
      </c>
      <c r="X85" s="595" t="s">
        <v>817</v>
      </c>
      <c r="Y85" s="595" t="s">
        <v>819</v>
      </c>
      <c r="Z85" s="596">
        <v>3525</v>
      </c>
      <c r="AA85" s="592">
        <v>730000</v>
      </c>
      <c r="AB85" s="598"/>
      <c r="AC85" s="599"/>
      <c r="AD85"/>
      <c r="AE85"/>
    </row>
    <row r="86" spans="1:31" s="5" customFormat="1">
      <c r="A86" s="445" t="s">
        <v>503</v>
      </c>
      <c r="B86" s="7">
        <f>B14/B15*100%</f>
        <v>1</v>
      </c>
      <c r="C86" s="7">
        <f>C14/C15*100%</f>
        <v>1</v>
      </c>
      <c r="D86" s="7"/>
      <c r="E86" s="7">
        <f t="shared" ref="E86:O86" si="37">E14/E15*100%</f>
        <v>1</v>
      </c>
      <c r="F86" s="7">
        <f t="shared" si="37"/>
        <v>1</v>
      </c>
      <c r="G86" s="7">
        <f t="shared" si="37"/>
        <v>1</v>
      </c>
      <c r="H86" s="7">
        <f t="shared" si="37"/>
        <v>1</v>
      </c>
      <c r="I86" s="7">
        <f t="shared" si="37"/>
        <v>1</v>
      </c>
      <c r="J86" s="7">
        <f t="shared" si="37"/>
        <v>1</v>
      </c>
      <c r="K86" s="7">
        <f t="shared" si="37"/>
        <v>1</v>
      </c>
      <c r="L86" s="7">
        <f t="shared" si="37"/>
        <v>1</v>
      </c>
      <c r="M86" s="7">
        <f t="shared" si="37"/>
        <v>1</v>
      </c>
      <c r="N86" s="7">
        <f t="shared" si="37"/>
        <v>1</v>
      </c>
      <c r="O86" s="12">
        <f t="shared" si="37"/>
        <v>1</v>
      </c>
      <c r="P86" s="478">
        <f t="shared" si="33"/>
        <v>13</v>
      </c>
      <c r="Q86" s="347"/>
      <c r="R86" s="347"/>
      <c r="S86" s="347"/>
      <c r="T86" s="347"/>
      <c r="U86" s="347"/>
      <c r="V86" s="593" t="s">
        <v>2</v>
      </c>
      <c r="W86" s="594">
        <v>91999909</v>
      </c>
      <c r="X86" s="595" t="s">
        <v>817</v>
      </c>
      <c r="Y86" s="595" t="s">
        <v>819</v>
      </c>
      <c r="Z86" s="596">
        <v>3525</v>
      </c>
      <c r="AA86" s="592">
        <v>730000</v>
      </c>
      <c r="AB86" s="598"/>
      <c r="AC86" s="599"/>
      <c r="AD86"/>
      <c r="AE86"/>
    </row>
    <row r="87" spans="1:31" s="5" customFormat="1">
      <c r="A87" s="445" t="s">
        <v>504</v>
      </c>
      <c r="B87" s="7">
        <f t="shared" ref="B87:O87" si="38">(B14-B131)/261*100%</f>
        <v>8.4291187739463605E-2</v>
      </c>
      <c r="C87" s="7">
        <f t="shared" si="38"/>
        <v>8.4291187739463605E-2</v>
      </c>
      <c r="D87" s="7">
        <f t="shared" si="38"/>
        <v>0</v>
      </c>
      <c r="E87" s="7">
        <f t="shared" si="38"/>
        <v>8.4291187739463605E-2</v>
      </c>
      <c r="F87" s="7">
        <f t="shared" si="38"/>
        <v>8.4291187739463605E-2</v>
      </c>
      <c r="G87" s="7">
        <f t="shared" si="38"/>
        <v>8.4291187739463605E-2</v>
      </c>
      <c r="H87" s="7">
        <f t="shared" si="38"/>
        <v>8.4291187739463605E-2</v>
      </c>
      <c r="I87" s="7">
        <f t="shared" si="38"/>
        <v>8.4291187739463605E-2</v>
      </c>
      <c r="J87" s="7">
        <f t="shared" si="38"/>
        <v>8.4291187739463605E-2</v>
      </c>
      <c r="K87" s="7">
        <f t="shared" si="38"/>
        <v>8.4291187739463605E-2</v>
      </c>
      <c r="L87" s="7">
        <f t="shared" si="38"/>
        <v>8.4291187739463605E-2</v>
      </c>
      <c r="M87" s="7">
        <f t="shared" si="38"/>
        <v>8.4291187739463605E-2</v>
      </c>
      <c r="N87" s="7">
        <f t="shared" si="38"/>
        <v>8.4291187739463605E-2</v>
      </c>
      <c r="O87" s="7">
        <f t="shared" si="38"/>
        <v>8.4291187739463605E-2</v>
      </c>
      <c r="P87" s="478">
        <f t="shared" si="33"/>
        <v>1.0957854406130272</v>
      </c>
      <c r="Q87" s="347"/>
      <c r="R87" s="348"/>
      <c r="S87" s="348"/>
      <c r="T87" s="348"/>
      <c r="U87" s="348"/>
      <c r="V87" s="593" t="s">
        <v>2</v>
      </c>
      <c r="W87" s="594">
        <v>91999910</v>
      </c>
      <c r="X87" s="595" t="s">
        <v>817</v>
      </c>
      <c r="Y87" s="595" t="s">
        <v>819</v>
      </c>
      <c r="Z87" s="596">
        <v>3525</v>
      </c>
      <c r="AA87" s="592">
        <v>730000</v>
      </c>
      <c r="AB87" s="595"/>
      <c r="AC87" s="597"/>
      <c r="AD87"/>
      <c r="AE87"/>
    </row>
    <row r="88" spans="1:31" s="5" customFormat="1">
      <c r="A88" s="445" t="s">
        <v>505</v>
      </c>
      <c r="B88" s="7">
        <f>B133/B15*100%</f>
        <v>0</v>
      </c>
      <c r="C88" s="7">
        <f>C133/C15*100%</f>
        <v>0</v>
      </c>
      <c r="D88" s="7"/>
      <c r="E88" s="7">
        <f t="shared" ref="E88:O88" si="39">E133/E15*100%</f>
        <v>0</v>
      </c>
      <c r="F88" s="7">
        <f t="shared" si="39"/>
        <v>0</v>
      </c>
      <c r="G88" s="7">
        <f t="shared" si="39"/>
        <v>0</v>
      </c>
      <c r="H88" s="7">
        <f t="shared" si="39"/>
        <v>0</v>
      </c>
      <c r="I88" s="7">
        <f t="shared" si="39"/>
        <v>0</v>
      </c>
      <c r="J88" s="7">
        <f t="shared" si="39"/>
        <v>0</v>
      </c>
      <c r="K88" s="7">
        <f t="shared" si="39"/>
        <v>0</v>
      </c>
      <c r="L88" s="7">
        <f t="shared" si="39"/>
        <v>0</v>
      </c>
      <c r="M88" s="7">
        <f t="shared" si="39"/>
        <v>0</v>
      </c>
      <c r="N88" s="7">
        <f t="shared" si="39"/>
        <v>0</v>
      </c>
      <c r="O88" s="12">
        <f t="shared" si="39"/>
        <v>0</v>
      </c>
      <c r="P88" s="478">
        <f t="shared" si="33"/>
        <v>0</v>
      </c>
      <c r="Q88" s="347"/>
      <c r="R88" s="347"/>
      <c r="S88" s="347"/>
      <c r="T88" s="347"/>
      <c r="U88" s="347"/>
      <c r="V88" s="593" t="s">
        <v>2</v>
      </c>
      <c r="W88" s="594">
        <v>91000011</v>
      </c>
      <c r="X88" s="595" t="s">
        <v>817</v>
      </c>
      <c r="Y88" s="595" t="s">
        <v>819</v>
      </c>
      <c r="Z88" s="596">
        <v>3525</v>
      </c>
      <c r="AA88" s="592">
        <v>730000</v>
      </c>
      <c r="AB88" s="595"/>
      <c r="AC88" s="597"/>
      <c r="AD88"/>
      <c r="AE88"/>
    </row>
    <row r="89" spans="1:31" s="5" customFormat="1">
      <c r="A89" s="451" t="s">
        <v>494</v>
      </c>
      <c r="B89" s="332">
        <f>ROUND(AA25*B16/365,0)</f>
        <v>679452</v>
      </c>
      <c r="C89" s="332">
        <f>ROUND(AA26*C16/365,0)</f>
        <v>679452</v>
      </c>
      <c r="E89" s="332">
        <f>ROUND(AA27*E16/365,0)</f>
        <v>679452</v>
      </c>
      <c r="F89" s="332">
        <f>ROUND(AA28*F16/365,0)</f>
        <v>679452</v>
      </c>
      <c r="G89" s="332"/>
      <c r="H89" s="332">
        <f>ROUND(AA29*G16/365,0)</f>
        <v>679452</v>
      </c>
      <c r="I89" s="332"/>
      <c r="J89" s="332"/>
      <c r="K89" s="340"/>
      <c r="L89" s="340"/>
      <c r="M89" s="340"/>
      <c r="N89" s="340"/>
      <c r="O89" s="401"/>
      <c r="P89" s="346">
        <f t="shared" si="33"/>
        <v>3397260</v>
      </c>
      <c r="Q89" s="347"/>
      <c r="R89" s="347"/>
      <c r="S89" s="347"/>
      <c r="T89" s="347"/>
      <c r="U89" s="347"/>
      <c r="V89" s="593" t="s">
        <v>2</v>
      </c>
      <c r="W89" s="594">
        <v>91999912</v>
      </c>
      <c r="X89" s="595" t="s">
        <v>817</v>
      </c>
      <c r="Y89" s="595" t="s">
        <v>819</v>
      </c>
      <c r="Z89" s="596">
        <v>3525</v>
      </c>
      <c r="AA89" s="592">
        <v>730000</v>
      </c>
      <c r="AB89" s="595"/>
      <c r="AC89" s="597"/>
      <c r="AD89"/>
      <c r="AE89"/>
    </row>
    <row r="90" spans="1:31" s="5" customFormat="1">
      <c r="A90" s="445" t="s">
        <v>536</v>
      </c>
      <c r="B90" s="332">
        <f>ROUND(AA30*B16/365,0)</f>
        <v>594521</v>
      </c>
      <c r="C90" s="332">
        <f>ROUND(AA31*C16/365,0)</f>
        <v>594521</v>
      </c>
      <c r="E90" s="332">
        <f>ROUND(AA32*E16/365,0)</f>
        <v>594521</v>
      </c>
      <c r="F90" s="332">
        <f>ROUND(AA33*F16/365,0)</f>
        <v>594521</v>
      </c>
      <c r="G90" s="332"/>
      <c r="H90" s="332">
        <f>ROUND(AA34*G16/365,0)</f>
        <v>594521</v>
      </c>
      <c r="I90" s="332"/>
      <c r="J90" s="332"/>
      <c r="K90" s="332"/>
      <c r="L90" s="332"/>
      <c r="M90" s="332"/>
      <c r="N90" s="332"/>
      <c r="O90" s="400"/>
      <c r="P90" s="346">
        <f t="shared" si="33"/>
        <v>2972605</v>
      </c>
      <c r="Q90" s="347"/>
      <c r="R90" s="347"/>
      <c r="S90" s="347"/>
      <c r="T90" s="347"/>
      <c r="U90" s="347"/>
      <c r="V90" s="593" t="s">
        <v>2</v>
      </c>
      <c r="W90" s="594">
        <v>91999913</v>
      </c>
      <c r="X90" s="595" t="s">
        <v>817</v>
      </c>
      <c r="Y90" s="595" t="s">
        <v>819</v>
      </c>
      <c r="Z90" s="596">
        <v>3525</v>
      </c>
      <c r="AA90" s="592">
        <v>730000</v>
      </c>
      <c r="AB90" s="595"/>
      <c r="AC90" s="597"/>
      <c r="AD90"/>
      <c r="AE90"/>
    </row>
    <row r="91" spans="1:31" s="5" customFormat="1">
      <c r="A91" s="412" t="s">
        <v>613</v>
      </c>
      <c r="B91" s="402"/>
      <c r="C91" s="80"/>
      <c r="D91" s="332"/>
      <c r="E91" s="332"/>
      <c r="F91" s="332"/>
      <c r="G91" s="332"/>
      <c r="H91" s="332">
        <f>AA35*B4</f>
        <v>2320500</v>
      </c>
      <c r="I91" s="332">
        <f>AA36*B4</f>
        <v>2320500</v>
      </c>
      <c r="J91" s="332"/>
      <c r="K91" s="340"/>
      <c r="L91" s="340"/>
      <c r="M91" s="340"/>
      <c r="N91" s="340"/>
      <c r="O91" s="401"/>
      <c r="P91" s="355">
        <f>SUM(D91:O91)</f>
        <v>4641000</v>
      </c>
      <c r="Q91" s="379"/>
      <c r="R91" s="379"/>
      <c r="S91" s="379"/>
      <c r="T91" s="379"/>
      <c r="U91" s="379"/>
      <c r="V91" s="32"/>
      <c r="W91" s="44"/>
      <c r="X91" s="13"/>
      <c r="Y91" s="13"/>
      <c r="Z91" s="13"/>
      <c r="AA91" s="362"/>
      <c r="AB91" s="13"/>
      <c r="AC91" s="18"/>
      <c r="AD91"/>
      <c r="AE91"/>
    </row>
    <row r="92" spans="1:31" s="5" customFormat="1">
      <c r="A92" s="412" t="s">
        <v>614</v>
      </c>
      <c r="B92" s="402"/>
      <c r="C92" s="80"/>
      <c r="D92" s="332"/>
      <c r="E92" s="332"/>
      <c r="F92" s="332"/>
      <c r="G92" s="332"/>
      <c r="H92" s="332">
        <f>AA37*B4</f>
        <v>4641000</v>
      </c>
      <c r="I92" s="332">
        <f>AA38*B4</f>
        <v>4641000</v>
      </c>
      <c r="J92" s="332"/>
      <c r="K92" s="340"/>
      <c r="L92" s="340"/>
      <c r="M92" s="340"/>
      <c r="N92" s="340"/>
      <c r="O92" s="401"/>
      <c r="P92" s="355">
        <f>SUM(D92:O92)</f>
        <v>9282000</v>
      </c>
      <c r="Q92" s="347"/>
      <c r="R92" s="347"/>
      <c r="S92" s="347"/>
      <c r="T92" s="347"/>
      <c r="U92" s="347"/>
      <c r="V92" s="32"/>
      <c r="W92" s="44"/>
      <c r="X92" s="13"/>
      <c r="Y92" s="13"/>
      <c r="Z92" s="13"/>
      <c r="AA92" s="362"/>
      <c r="AB92" s="13"/>
      <c r="AC92" s="18"/>
      <c r="AD92"/>
      <c r="AE92"/>
    </row>
    <row r="93" spans="1:31" s="5" customFormat="1">
      <c r="A93" s="412"/>
      <c r="B93" s="331"/>
      <c r="C93" s="332"/>
      <c r="D93" s="332"/>
      <c r="E93" s="340"/>
      <c r="F93" s="332"/>
      <c r="G93" s="332"/>
      <c r="H93" s="332"/>
      <c r="I93" s="332"/>
      <c r="J93" s="332"/>
      <c r="K93" s="340"/>
      <c r="L93" s="340"/>
      <c r="M93" s="340"/>
      <c r="N93" s="340"/>
      <c r="O93" s="401"/>
      <c r="P93" s="346"/>
      <c r="Q93" s="347"/>
      <c r="R93" s="347"/>
      <c r="S93" s="347"/>
      <c r="T93" s="347"/>
      <c r="U93" s="347"/>
      <c r="V93" s="42"/>
      <c r="W93" s="43"/>
      <c r="X93" s="13"/>
      <c r="Y93" s="13"/>
      <c r="Z93" s="61"/>
      <c r="AA93" s="362"/>
      <c r="AB93" s="13"/>
      <c r="AC93" s="18"/>
      <c r="AD93"/>
      <c r="AE93"/>
    </row>
    <row r="94" spans="1:31" s="5" customFormat="1">
      <c r="A94" s="412" t="s">
        <v>579</v>
      </c>
      <c r="B94" s="331">
        <f>SUM(B24:B36)</f>
        <v>22830000</v>
      </c>
      <c r="C94" s="332">
        <f>SUM(C24:C36)</f>
        <v>21790000</v>
      </c>
      <c r="D94" s="332"/>
      <c r="E94" s="332">
        <f t="shared" ref="E94:O94" si="40">SUM(E24:E36)</f>
        <v>24730000</v>
      </c>
      <c r="F94" s="332">
        <f t="shared" si="40"/>
        <v>29730000</v>
      </c>
      <c r="G94" s="332">
        <f t="shared" si="40"/>
        <v>29006250</v>
      </c>
      <c r="H94" s="332">
        <f t="shared" si="40"/>
        <v>168816375</v>
      </c>
      <c r="I94" s="332">
        <f t="shared" si="40"/>
        <v>100361625</v>
      </c>
      <c r="J94" s="332">
        <f t="shared" si="40"/>
        <v>85230000</v>
      </c>
      <c r="K94" s="332">
        <f t="shared" si="40"/>
        <v>26730000</v>
      </c>
      <c r="L94" s="332">
        <f t="shared" si="40"/>
        <v>25230000</v>
      </c>
      <c r="M94" s="332">
        <f t="shared" si="40"/>
        <v>26653100</v>
      </c>
      <c r="N94" s="332">
        <f t="shared" si="40"/>
        <v>24580000</v>
      </c>
      <c r="O94" s="400">
        <f t="shared" si="40"/>
        <v>4500000</v>
      </c>
      <c r="P94" s="346">
        <f t="shared" ref="P94:P106" si="41">SUM(B94:O94)</f>
        <v>590187350</v>
      </c>
      <c r="Q94" s="347"/>
      <c r="R94" s="347"/>
      <c r="S94" s="347"/>
      <c r="T94" s="347"/>
      <c r="U94" s="347"/>
      <c r="V94" s="24" t="s">
        <v>57</v>
      </c>
      <c r="W94" s="37" t="s">
        <v>67</v>
      </c>
      <c r="X94" s="37" t="s">
        <v>69</v>
      </c>
      <c r="Y94" s="37" t="s">
        <v>70</v>
      </c>
      <c r="Z94" s="62" t="s">
        <v>425</v>
      </c>
      <c r="AA94" s="363" t="s">
        <v>426</v>
      </c>
      <c r="AB94" s="37" t="s">
        <v>56</v>
      </c>
      <c r="AC94" s="38"/>
      <c r="AD94"/>
      <c r="AE94"/>
    </row>
    <row r="95" spans="1:31" s="5" customFormat="1">
      <c r="A95" s="445" t="s">
        <v>580</v>
      </c>
      <c r="B95" s="332">
        <f>SUM(B24:B27,B38,B39,B78)</f>
        <v>9980722</v>
      </c>
      <c r="C95" s="332">
        <f>SUM(C24:C27,C38,C39,C78)</f>
        <v>9141992</v>
      </c>
      <c r="D95" s="332"/>
      <c r="E95" s="332">
        <f t="shared" ref="E95:O95" si="42">SUM(E24:E27,E38,E39,E78)</f>
        <v>11981357</v>
      </c>
      <c r="F95" s="332">
        <f t="shared" si="42"/>
        <v>16679452</v>
      </c>
      <c r="G95" s="332">
        <f t="shared" si="42"/>
        <v>29006250</v>
      </c>
      <c r="H95" s="332">
        <f t="shared" si="42"/>
        <v>169016306</v>
      </c>
      <c r="I95" s="332">
        <f t="shared" si="42"/>
        <v>90499500</v>
      </c>
      <c r="J95" s="332">
        <f t="shared" si="42"/>
        <v>71500000</v>
      </c>
      <c r="K95" s="332">
        <f t="shared" si="42"/>
        <v>13000000</v>
      </c>
      <c r="L95" s="332">
        <f t="shared" si="42"/>
        <v>11500000</v>
      </c>
      <c r="M95" s="332">
        <f t="shared" si="42"/>
        <v>11711550</v>
      </c>
      <c r="N95" s="332">
        <f t="shared" si="42"/>
        <v>10850000</v>
      </c>
      <c r="O95" s="332">
        <f t="shared" si="42"/>
        <v>4500000</v>
      </c>
      <c r="P95" s="346">
        <f t="shared" si="41"/>
        <v>459367129</v>
      </c>
      <c r="Q95" s="347"/>
      <c r="R95" s="347"/>
      <c r="S95" s="347"/>
      <c r="T95" s="347"/>
      <c r="U95" s="347"/>
      <c r="V95" s="523" t="s">
        <v>424</v>
      </c>
      <c r="W95" s="524">
        <v>91999906</v>
      </c>
      <c r="X95" s="525" t="s">
        <v>778</v>
      </c>
      <c r="Y95" s="525" t="s">
        <v>778</v>
      </c>
      <c r="Z95" s="292">
        <v>0.375</v>
      </c>
      <c r="AA95" s="292">
        <v>0.47916666666666669</v>
      </c>
      <c r="AB95" s="290">
        <v>9180</v>
      </c>
      <c r="AC95" s="479">
        <v>2.5</v>
      </c>
      <c r="AD95"/>
      <c r="AE95"/>
    </row>
    <row r="96" spans="1:31" s="5" customFormat="1">
      <c r="A96" s="445" t="s">
        <v>581</v>
      </c>
      <c r="B96" s="332">
        <f>IF(B14&gt;B15/2,IF(OR(B18="A",B18="B"),SUM(B122,B124,B125,B127),B137),0)</f>
        <v>12600000</v>
      </c>
      <c r="C96" s="332">
        <f>IF(C14&gt;C15/2,IF(OR(C18="A",C18="B"),SUM(C122,C124,C125,C127),C137),0)</f>
        <v>11560000</v>
      </c>
      <c r="D96" s="332"/>
      <c r="E96" s="332">
        <f t="shared" ref="E96:O96" si="43">IF(E14&gt;E15/2,IF(OR(E18="A",E18="B"),SUM(E122,E124,E125,E127),E137),0)</f>
        <v>14500000</v>
      </c>
      <c r="F96" s="332">
        <f t="shared" si="43"/>
        <v>19500000</v>
      </c>
      <c r="G96" s="332">
        <f t="shared" si="43"/>
        <v>0</v>
      </c>
      <c r="H96" s="332">
        <f t="shared" si="43"/>
        <v>165675000</v>
      </c>
      <c r="I96" s="332">
        <f t="shared" si="43"/>
        <v>96350000</v>
      </c>
      <c r="J96" s="332">
        <f t="shared" si="43"/>
        <v>75000000</v>
      </c>
      <c r="K96" s="332">
        <f t="shared" si="43"/>
        <v>16500000</v>
      </c>
      <c r="L96" s="332">
        <f t="shared" si="43"/>
        <v>15000000</v>
      </c>
      <c r="M96" s="332">
        <f t="shared" si="43"/>
        <v>14000000</v>
      </c>
      <c r="N96" s="332">
        <f t="shared" si="43"/>
        <v>14350000</v>
      </c>
      <c r="O96" s="400">
        <f t="shared" si="43"/>
        <v>0</v>
      </c>
      <c r="P96" s="346">
        <f t="shared" si="41"/>
        <v>455035000</v>
      </c>
      <c r="Q96" s="347"/>
      <c r="R96" s="347"/>
      <c r="S96" s="347"/>
      <c r="T96" s="347"/>
      <c r="U96" s="347"/>
      <c r="V96" s="523" t="s">
        <v>423</v>
      </c>
      <c r="W96" s="524">
        <v>91999906</v>
      </c>
      <c r="X96" s="525" t="s">
        <v>779</v>
      </c>
      <c r="Y96" s="525" t="s">
        <v>779</v>
      </c>
      <c r="Z96" s="292">
        <v>0.375</v>
      </c>
      <c r="AA96" s="292">
        <v>0.47916666666666669</v>
      </c>
      <c r="AB96" s="290">
        <v>9180</v>
      </c>
      <c r="AC96" s="479">
        <v>2.5</v>
      </c>
      <c r="AD96"/>
      <c r="AE96"/>
    </row>
    <row r="97" spans="1:31" s="5" customFormat="1">
      <c r="A97" s="412" t="s">
        <v>586</v>
      </c>
      <c r="B97" s="332">
        <f>IF(OR(B18="A",B18="B"),SUM(B136,B124,B125,B128,B129,B127),SUM(B136,B127)*$B$4)</f>
        <v>15830000</v>
      </c>
      <c r="C97" s="332">
        <f>IF(OR(C18="A",C18="B"),SUM(C136,C124,C125,C128,C129,C127),SUM(C136,C127)*$B$4)</f>
        <v>14790000</v>
      </c>
      <c r="D97" s="332"/>
      <c r="E97" s="332">
        <f t="shared" ref="E97:O97" si="44">IF(OR(E18="A",E18="B"),SUM(E136,E124,E125,E128,E129,E127),SUM(E136,E127)*$B$4)</f>
        <v>17730000</v>
      </c>
      <c r="F97" s="332">
        <f t="shared" si="44"/>
        <v>22730000</v>
      </c>
      <c r="G97" s="332">
        <f t="shared" si="44"/>
        <v>0</v>
      </c>
      <c r="H97" s="332">
        <f t="shared" si="44"/>
        <v>125307000</v>
      </c>
      <c r="I97" s="332">
        <f t="shared" si="44"/>
        <v>95140500</v>
      </c>
      <c r="J97" s="332">
        <f t="shared" si="44"/>
        <v>78230000</v>
      </c>
      <c r="K97" s="332">
        <f t="shared" si="44"/>
        <v>19730000</v>
      </c>
      <c r="L97" s="332">
        <f t="shared" si="44"/>
        <v>18230000</v>
      </c>
      <c r="M97" s="332">
        <f t="shared" si="44"/>
        <v>17230000</v>
      </c>
      <c r="N97" s="332">
        <f t="shared" si="44"/>
        <v>17580000</v>
      </c>
      <c r="O97" s="400">
        <f t="shared" si="44"/>
        <v>0</v>
      </c>
      <c r="P97" s="346">
        <f t="shared" si="41"/>
        <v>442527500</v>
      </c>
      <c r="Q97" s="347"/>
      <c r="R97" s="347"/>
      <c r="S97" s="347"/>
      <c r="T97" s="347"/>
      <c r="U97" s="347"/>
      <c r="V97" s="523"/>
      <c r="W97" s="524"/>
      <c r="X97" s="525"/>
      <c r="Y97" s="525"/>
      <c r="Z97" s="292"/>
      <c r="AA97" s="292"/>
      <c r="AB97" s="290"/>
      <c r="AC97" s="479"/>
      <c r="AD97"/>
      <c r="AE97"/>
    </row>
    <row r="98" spans="1:31" s="5" customFormat="1">
      <c r="A98" s="412" t="s">
        <v>483</v>
      </c>
      <c r="B98" s="332">
        <f>ROUND('UAT7-Jul'!B70/6,0)</f>
        <v>8000000</v>
      </c>
      <c r="C98" s="332">
        <f>ROUND('UAT7-Jul'!C70/6,0)</f>
        <v>7341667</v>
      </c>
      <c r="D98" s="332"/>
      <c r="E98" s="332">
        <f>ROUND('UAT7-Jul'!E70/6,0)</f>
        <v>9788889</v>
      </c>
      <c r="F98" s="332">
        <f>ROUND('UAT7-Jul'!F70/6,0)</f>
        <v>14966667</v>
      </c>
      <c r="G98" s="332">
        <f>ROUND('UAT7-Jul'!G70/6,0)</f>
        <v>0</v>
      </c>
      <c r="H98" s="332">
        <f>ROUND('UAT7-Jul'!H70/6,0)</f>
        <v>120085875</v>
      </c>
      <c r="I98" s="332">
        <f>ROUND('UAT7-Jul'!I70/6,0)</f>
        <v>88701113</v>
      </c>
      <c r="J98" s="332">
        <f>ROUND('UAT7-Jul'!J70/6,0)</f>
        <v>67166667</v>
      </c>
      <c r="K98" s="332">
        <f>ROUND('UAT7-Jul'!K70/6,0)</f>
        <v>11388333</v>
      </c>
      <c r="L98" s="332">
        <f>ROUND('UAT7-Jul'!L70/6,0)</f>
        <v>63833333</v>
      </c>
      <c r="M98" s="332">
        <f>ROUND('UAT7-Jul'!M70/6,0)</f>
        <v>8466667</v>
      </c>
      <c r="N98" s="332">
        <f>ROUND('UAT7-Jul'!N70/6,0)</f>
        <v>9616667</v>
      </c>
      <c r="O98" s="400">
        <f>ROUND('UAT7-Jul'!O70/6,0)</f>
        <v>3000000</v>
      </c>
      <c r="P98" s="346">
        <f t="shared" si="41"/>
        <v>412355878</v>
      </c>
      <c r="Q98" s="347"/>
      <c r="R98" s="347"/>
      <c r="S98" s="347"/>
      <c r="T98" s="347"/>
      <c r="U98" s="347"/>
      <c r="V98" s="523" t="s">
        <v>423</v>
      </c>
      <c r="W98" s="524">
        <v>91999914</v>
      </c>
      <c r="X98" s="525" t="s">
        <v>780</v>
      </c>
      <c r="Y98" s="525" t="s">
        <v>780</v>
      </c>
      <c r="Z98" s="292">
        <v>0.375</v>
      </c>
      <c r="AA98" s="292">
        <v>0.47916666666666669</v>
      </c>
      <c r="AB98" s="290">
        <v>9180</v>
      </c>
      <c r="AC98" s="479">
        <v>2.5</v>
      </c>
      <c r="AD98"/>
      <c r="AE98"/>
    </row>
    <row r="99" spans="1:31" s="5" customFormat="1">
      <c r="A99" s="445" t="s">
        <v>486</v>
      </c>
      <c r="B99" s="332">
        <f>B95</f>
        <v>9980722</v>
      </c>
      <c r="C99" s="332">
        <f t="shared" ref="C99:O99" si="45">C95</f>
        <v>9141992</v>
      </c>
      <c r="D99" s="332"/>
      <c r="E99" s="332">
        <f t="shared" si="45"/>
        <v>11981357</v>
      </c>
      <c r="F99" s="332">
        <f t="shared" si="45"/>
        <v>16679452</v>
      </c>
      <c r="G99" s="332">
        <f t="shared" si="45"/>
        <v>29006250</v>
      </c>
      <c r="H99" s="332">
        <f t="shared" si="45"/>
        <v>169016306</v>
      </c>
      <c r="I99" s="332">
        <f t="shared" si="45"/>
        <v>90499500</v>
      </c>
      <c r="J99" s="332">
        <f t="shared" si="45"/>
        <v>71500000</v>
      </c>
      <c r="K99" s="332">
        <f t="shared" si="45"/>
        <v>13000000</v>
      </c>
      <c r="L99" s="332">
        <f t="shared" si="45"/>
        <v>11500000</v>
      </c>
      <c r="M99" s="332">
        <f t="shared" si="45"/>
        <v>11711550</v>
      </c>
      <c r="N99" s="332">
        <f t="shared" si="45"/>
        <v>10850000</v>
      </c>
      <c r="O99" s="400">
        <f t="shared" si="45"/>
        <v>4500000</v>
      </c>
      <c r="P99" s="346">
        <f t="shared" si="41"/>
        <v>459367129</v>
      </c>
      <c r="Q99" s="347"/>
      <c r="R99" s="347"/>
      <c r="S99" s="347"/>
      <c r="T99" s="347"/>
      <c r="U99" s="347"/>
      <c r="V99" s="523" t="s">
        <v>423</v>
      </c>
      <c r="W99" s="524">
        <v>91999914</v>
      </c>
      <c r="X99" s="526" t="s">
        <v>781</v>
      </c>
      <c r="Y99" s="526" t="s">
        <v>781</v>
      </c>
      <c r="Z99" s="292">
        <v>0.375</v>
      </c>
      <c r="AA99" s="292">
        <v>0.47916666666666669</v>
      </c>
      <c r="AB99" s="290">
        <v>9180</v>
      </c>
      <c r="AC99" s="479">
        <v>2.5</v>
      </c>
      <c r="AD99"/>
      <c r="AE99"/>
    </row>
    <row r="100" spans="1:31" s="5" customFormat="1">
      <c r="A100" s="445" t="s">
        <v>607</v>
      </c>
      <c r="B100" s="332">
        <f>SUM(B45:B47)</f>
        <v>1323000</v>
      </c>
      <c r="C100" s="332">
        <f>SUM(C45:C47)</f>
        <v>1213800</v>
      </c>
      <c r="D100" s="332"/>
      <c r="E100" s="332">
        <f t="shared" ref="E100:O100" si="46">SUM(E45:E47)</f>
        <v>1522500</v>
      </c>
      <c r="F100" s="332">
        <f t="shared" si="46"/>
        <v>0</v>
      </c>
      <c r="G100" s="332">
        <f t="shared" si="46"/>
        <v>0</v>
      </c>
      <c r="H100" s="332">
        <f t="shared" si="46"/>
        <v>447000</v>
      </c>
      <c r="I100" s="332">
        <f t="shared" si="46"/>
        <v>447000</v>
      </c>
      <c r="J100" s="332">
        <f t="shared" si="46"/>
        <v>3581000</v>
      </c>
      <c r="K100" s="332">
        <f t="shared" si="46"/>
        <v>0</v>
      </c>
      <c r="L100" s="332">
        <f t="shared" si="46"/>
        <v>1575000</v>
      </c>
      <c r="M100" s="332">
        <f t="shared" si="46"/>
        <v>0</v>
      </c>
      <c r="N100" s="332">
        <f t="shared" si="46"/>
        <v>0</v>
      </c>
      <c r="O100" s="400">
        <f t="shared" si="46"/>
        <v>0</v>
      </c>
      <c r="P100" s="346">
        <f t="shared" si="41"/>
        <v>10109300</v>
      </c>
      <c r="Q100" s="380"/>
      <c r="R100" s="347"/>
      <c r="S100" s="347"/>
      <c r="T100" s="347"/>
      <c r="U100" s="347"/>
      <c r="V100" s="514" t="s">
        <v>423</v>
      </c>
      <c r="W100" s="518">
        <v>91999912</v>
      </c>
      <c r="X100" s="444" t="s">
        <v>782</v>
      </c>
      <c r="Y100" s="444" t="s">
        <v>782</v>
      </c>
      <c r="Z100" s="515">
        <v>0.33333333333333331</v>
      </c>
      <c r="AA100" s="515">
        <v>0.75</v>
      </c>
      <c r="AB100" s="516">
        <v>9000</v>
      </c>
      <c r="AC100" s="517">
        <v>10</v>
      </c>
      <c r="AD100"/>
      <c r="AE100"/>
    </row>
    <row r="101" spans="1:31" s="5" customFormat="1">
      <c r="A101" s="445" t="s">
        <v>902</v>
      </c>
      <c r="B101" s="332">
        <f>IF(OR(B18="A",B18="C"),B99-B100,B99)</f>
        <v>8657722</v>
      </c>
      <c r="C101" s="332">
        <f>IF(OR(C18="A",C18="C"),C99-C100,C99)</f>
        <v>7928192</v>
      </c>
      <c r="D101" s="332"/>
      <c r="E101" s="332">
        <f t="shared" ref="E101:O101" si="47">IF(OR(E18="A",E18="C"),E99-E100,E99)</f>
        <v>11981357</v>
      </c>
      <c r="F101" s="332">
        <f t="shared" si="47"/>
        <v>16679452</v>
      </c>
      <c r="G101" s="332">
        <f t="shared" si="47"/>
        <v>29006250</v>
      </c>
      <c r="H101" s="332">
        <f t="shared" si="47"/>
        <v>169016306</v>
      </c>
      <c r="I101" s="332">
        <f t="shared" si="47"/>
        <v>90499500</v>
      </c>
      <c r="J101" s="332">
        <f t="shared" si="47"/>
        <v>67919000</v>
      </c>
      <c r="K101" s="332">
        <f t="shared" si="47"/>
        <v>13000000</v>
      </c>
      <c r="L101" s="332">
        <f t="shared" si="47"/>
        <v>9925000</v>
      </c>
      <c r="M101" s="332">
        <f t="shared" si="47"/>
        <v>11711550</v>
      </c>
      <c r="N101" s="332">
        <f t="shared" si="47"/>
        <v>10850000</v>
      </c>
      <c r="O101" s="400">
        <f t="shared" si="47"/>
        <v>4500000</v>
      </c>
      <c r="P101" s="346">
        <f t="shared" si="41"/>
        <v>451674329</v>
      </c>
      <c r="Q101" s="347"/>
      <c r="R101" s="347"/>
      <c r="S101" s="347"/>
      <c r="T101" s="347"/>
      <c r="U101" s="347"/>
      <c r="V101" s="514" t="s">
        <v>423</v>
      </c>
      <c r="W101" s="518">
        <v>91999912</v>
      </c>
      <c r="X101" s="444" t="s">
        <v>783</v>
      </c>
      <c r="Y101" s="444" t="s">
        <v>783</v>
      </c>
      <c r="Z101" s="515">
        <v>0.33333333333333331</v>
      </c>
      <c r="AA101" s="515">
        <v>0.75</v>
      </c>
      <c r="AB101" s="516">
        <v>9000</v>
      </c>
      <c r="AC101" s="517">
        <v>10</v>
      </c>
      <c r="AD101"/>
      <c r="AE101"/>
    </row>
    <row r="102" spans="1:31" s="5" customFormat="1">
      <c r="A102" s="445" t="s">
        <v>903</v>
      </c>
      <c r="B102" s="332">
        <f>IF(OR(B18="A",B18="C"),MAX(B101-B21-B20*B19,0),B101)</f>
        <v>0</v>
      </c>
      <c r="C102" s="332">
        <f>IF(OR(C18="A",C18="C"),MAX(C101-C21-C20*C19,0),C101)</f>
        <v>0</v>
      </c>
      <c r="D102" s="332"/>
      <c r="E102" s="332">
        <f t="shared" ref="E102:O102" si="48">IF(OR(E18="A",E18="C"),MAX(E101-E21-E20*E19,0),E101)</f>
        <v>11981357</v>
      </c>
      <c r="F102" s="332">
        <f t="shared" si="48"/>
        <v>16679452</v>
      </c>
      <c r="G102" s="332">
        <f t="shared" si="48"/>
        <v>20006250</v>
      </c>
      <c r="H102" s="332">
        <f t="shared" si="48"/>
        <v>169016306</v>
      </c>
      <c r="I102" s="332">
        <f t="shared" si="48"/>
        <v>90499500</v>
      </c>
      <c r="J102" s="332">
        <f t="shared" si="48"/>
        <v>58919000</v>
      </c>
      <c r="K102" s="332">
        <f t="shared" si="48"/>
        <v>4000000</v>
      </c>
      <c r="L102" s="332">
        <f t="shared" si="48"/>
        <v>925000</v>
      </c>
      <c r="M102" s="332">
        <f t="shared" si="48"/>
        <v>2711550</v>
      </c>
      <c r="N102" s="332">
        <f t="shared" si="48"/>
        <v>1850000</v>
      </c>
      <c r="O102" s="400">
        <f t="shared" si="48"/>
        <v>4500000</v>
      </c>
      <c r="P102" s="346">
        <f t="shared" si="41"/>
        <v>381088415</v>
      </c>
      <c r="Q102" s="347"/>
      <c r="R102" s="347"/>
      <c r="S102" s="347"/>
      <c r="T102" s="347"/>
      <c r="U102" s="347"/>
      <c r="V102" s="514" t="s">
        <v>423</v>
      </c>
      <c r="W102" s="518">
        <v>91999912</v>
      </c>
      <c r="X102" s="444" t="s">
        <v>784</v>
      </c>
      <c r="Y102" s="444" t="s">
        <v>784</v>
      </c>
      <c r="Z102" s="515">
        <v>0.33333333333333331</v>
      </c>
      <c r="AA102" s="515">
        <v>0.75</v>
      </c>
      <c r="AB102" s="516">
        <v>9000</v>
      </c>
      <c r="AC102" s="517">
        <v>10</v>
      </c>
      <c r="AD102"/>
      <c r="AE102"/>
    </row>
    <row r="103" spans="1:31" s="5" customFormat="1">
      <c r="A103" s="445" t="s">
        <v>906</v>
      </c>
      <c r="B103" s="332">
        <f>IF(OR(B18="A",B18="C"),ROUND(MAX(B102*{5;10;15;20;25;30;35}%-{0;0.25;0.75;1.65;3.25;5.85;9.85}*1000000,0),0),IF(B18="B",IF(B102&lt;2000000,0,ROUND(B102*10%,0)),ROUND(B102*20%,0)))</f>
        <v>0</v>
      </c>
      <c r="C103" s="332">
        <f>IF(OR(C18="A",C18="C"),ROUND(MAX(C102*{5;10;15;20;25;30;35}%-{0;0.25;0.75;1.65;3.25;5.85;9.85}*1000000,0),0),IF(C18="B",IF(C102&lt;2000000,0,ROUND(C102*10%,0)),ROUND(C102*20%,0)))</f>
        <v>0</v>
      </c>
      <c r="D103" s="332">
        <f>IF(OR(D18="A",D18="C"),ROUND(MAX(D102*{5;10;15;20;25;30;35}%-{0;0.25;0.75;1.65;3.25;5.85;9.85}*1000000,0),0),IF(D18="B",IF(D102&lt;2000000,0,ROUND(D102*10%,0)),ROUND(D102*20%,0)))</f>
        <v>0</v>
      </c>
      <c r="E103" s="332">
        <f>IF(OR(E18="A",E18="C"),ROUND(MAX(E102*{5;10;15;20;25;30;35}%-{0;0.25;0.75;1.65;3.25;5.85;9.85}*1000000,0),0),IF(E18="B",IF(E102&lt;2000000,0,ROUND(E102*10%,0)),ROUND(E102*20%,0)))</f>
        <v>1198136</v>
      </c>
      <c r="F103" s="332">
        <f>IF(OR(F18="A",F18="C"),ROUND(MAX(F102*{5;10;15;20;25;30;35}%-{0;0.25;0.75;1.65;3.25;5.85;9.85}*1000000,0),0),IF(F18="B",IF(F102&lt;2000000,0,ROUND(F102*10%,0)),ROUND(F102*20%,0)))</f>
        <v>1667945</v>
      </c>
      <c r="G103" s="332">
        <f>IF(OR(G18="A",G18="C"),ROUND(MAX(G102*{5;10;15;20;25;30;35}%-{0;0.25;0.75;1.65;3.25;5.85;9.85}*1000000,0),0),IF(G18="B",IF(G102&lt;2000000,0,ROUND(G102*10%,0)),ROUND(G102*20%,0)))</f>
        <v>2351250</v>
      </c>
      <c r="H103" s="332">
        <f>IF(OR(H18="A",H18="C"),ROUND(MAX(H102*{5;10;15;20;25;30;35}%-{0;0.25;0.75;1.65;3.25;5.85;9.85}*1000000,0),0),IF(H18="B",IF(H102&lt;2000000,0,ROUND(H102*10%,0)),ROUND(H102*20%,0)))</f>
        <v>33803261</v>
      </c>
      <c r="I103" s="332">
        <f>IF(OR(I18="A",I18="C"),ROUND(MAX(I102*{5;10;15;20;25;30;35}%-{0;0.25;0.75;1.65;3.25;5.85;9.85}*1000000,0),0),IF(I18="B",IF(I102&lt;2000000,0,ROUND(I102*10%,0)),ROUND(I102*20%,0)))</f>
        <v>18099900</v>
      </c>
      <c r="J103" s="332">
        <f>IF(OR(J18="A",J18="C"),ROUND(MAX(J102*{5;10;15;20;25;30;35}%-{0;0.25;0.75;1.65;3.25;5.85;9.85}*1000000,0),0),IF(J18="B",IF(J102&lt;2000000,0,ROUND(J102*10%,0)),ROUND(J102*20%,0)))</f>
        <v>11825700</v>
      </c>
      <c r="K103" s="332">
        <f>IF(OR(K18="A",K18="C"),ROUND(MAX(K102*{5;10;15;20;25;30;35}%-{0;0.25;0.75;1.65;3.25;5.85;9.85}*1000000,0),0),IF(K18="B",IF(K102&lt;2000000,0,ROUND(K102*10%,0)),ROUND(K102*20%,0)))</f>
        <v>200000</v>
      </c>
      <c r="L103" s="332">
        <f>IF(OR(L18="A",L18="C"),ROUND(MAX(L102*{5;10;15;20;25;30;35}%-{0;0.25;0.75;1.65;3.25;5.85;9.85}*1000000,0),0),IF(L18="B",IF(L102&lt;2000000,0,ROUND(L102*10%,0)),ROUND(L102*20%,0)))</f>
        <v>46250</v>
      </c>
      <c r="M103" s="332">
        <f>IF(OR(M18="A",M18="C"),ROUND(MAX(M102*{5;10;15;20;25;30;35}%-{0;0.25;0.75;1.65;3.25;5.85;9.85}*1000000,0),0),IF(M18="B",IF(M102&lt;2000000,0,ROUND(M102*10%,0)),ROUND(M102*20%,0)))</f>
        <v>135578</v>
      </c>
      <c r="N103" s="332">
        <f>IF(OR(N18="A",N18="C"),ROUND(MAX(N102*{5;10;15;20;25;30;35}%-{0;0.25;0.75;1.65;3.25;5.85;9.85}*1000000,0),0),IF(N18="B",IF(N102&lt;2000000,0,ROUND(N102*10%,0)),ROUND(N102*20%,0)))</f>
        <v>92500</v>
      </c>
      <c r="O103" s="332">
        <f>IF(OR(O18="A",O18="C"),ROUND(MAX(O102*{5;10;15;20;25;30;35}%-{0;0.25;0.75;1.65;3.25;5.85;9.85}*1000000,0),0),IF(O18="B",IF(O102&lt;2000000,0,ROUND(O102*10%,0)),ROUND(O102*20%,0)))</f>
        <v>450000</v>
      </c>
      <c r="P103" s="346">
        <f t="shared" si="41"/>
        <v>69870520</v>
      </c>
      <c r="Q103" s="347"/>
      <c r="R103" s="347"/>
      <c r="S103" s="347"/>
      <c r="T103" s="347"/>
      <c r="U103" s="347"/>
      <c r="V103" s="514"/>
      <c r="W103" s="518"/>
      <c r="X103" s="444"/>
      <c r="Y103" s="444"/>
      <c r="Z103" s="515"/>
      <c r="AA103" s="515"/>
      <c r="AB103" s="516"/>
      <c r="AC103" s="517"/>
      <c r="AD103"/>
      <c r="AE103"/>
    </row>
    <row r="104" spans="1:31" s="5" customFormat="1">
      <c r="A104" s="445" t="s">
        <v>922</v>
      </c>
      <c r="B104" s="332">
        <f>B99+'UAT7-Jul'!B113</f>
        <v>90090768</v>
      </c>
      <c r="C104" s="332">
        <f>C99+'UAT7-Jul'!C113</f>
        <v>85024961</v>
      </c>
      <c r="D104" s="332">
        <f>D99+'UAT7-Jul'!D113</f>
        <v>67015899</v>
      </c>
      <c r="E104" s="332">
        <f>E99+'UAT7-Jul'!E113</f>
        <v>169448319</v>
      </c>
      <c r="F104" s="332">
        <f>F99+'UAT7-Jul'!F113</f>
        <v>139635376</v>
      </c>
      <c r="G104" s="332">
        <f>G99+'UAT7-Jul'!G113</f>
        <v>371280000</v>
      </c>
      <c r="H104" s="332">
        <f>H99+'UAT7-Jul'!H113</f>
        <v>1320525348</v>
      </c>
      <c r="I104" s="332">
        <f>I99+'UAT7-Jul'!I113</f>
        <v>820525065.86210001</v>
      </c>
      <c r="J104" s="332">
        <f>J99+'UAT7-Jul'!J113</f>
        <v>478725262</v>
      </c>
      <c r="K104" s="332">
        <f>K99+'UAT7-Jul'!K113</f>
        <v>91000000</v>
      </c>
      <c r="L104" s="332">
        <f>L99+'UAT7-Jul'!L113</f>
        <v>473689000</v>
      </c>
      <c r="M104" s="332">
        <f>M99+'UAT7-Jul'!M113</f>
        <v>71930786</v>
      </c>
      <c r="N104" s="332">
        <f>N99+'UAT7-Jul'!N113</f>
        <v>76421491</v>
      </c>
      <c r="O104" s="400">
        <f>O99+'UAT7-Jul'!O113</f>
        <v>36500000</v>
      </c>
      <c r="P104" s="346">
        <f t="shared" si="41"/>
        <v>4291812275.8621001</v>
      </c>
      <c r="Q104" s="347"/>
      <c r="R104" s="347"/>
      <c r="S104" s="347"/>
      <c r="T104" s="347"/>
      <c r="U104" s="347"/>
      <c r="V104" s="33"/>
      <c r="W104" s="45"/>
      <c r="X104" s="13"/>
      <c r="Y104" s="13"/>
      <c r="Z104" s="13"/>
      <c r="AA104" s="13"/>
      <c r="AB104" s="13"/>
      <c r="AC104" s="18"/>
      <c r="AD104"/>
      <c r="AE104"/>
    </row>
    <row r="105" spans="1:31" s="5" customFormat="1">
      <c r="A105" s="445" t="s">
        <v>488</v>
      </c>
      <c r="B105" s="332">
        <f>B103+'UAT7-Jul'!B114</f>
        <v>359065</v>
      </c>
      <c r="C105" s="332">
        <f>C103+'UAT7-Jul'!C114</f>
        <v>0</v>
      </c>
      <c r="D105" s="332">
        <f>D103+'UAT7-Jul'!D114</f>
        <v>161125</v>
      </c>
      <c r="E105" s="332">
        <f>E103+'UAT7-Jul'!E114</f>
        <v>17039333</v>
      </c>
      <c r="F105" s="332">
        <f>F103+'UAT7-Jul'!F114</f>
        <v>13963536</v>
      </c>
      <c r="G105" s="332">
        <f>G103+'UAT7-Jul'!G114</f>
        <v>67051375</v>
      </c>
      <c r="H105" s="332">
        <f>H103+'UAT7-Jul'!H114</f>
        <v>264188470</v>
      </c>
      <c r="I105" s="332">
        <f>I103+'UAT7-Jul'!I114</f>
        <v>164188413</v>
      </c>
      <c r="J105" s="332">
        <f>J103+'UAT7-Jul'!J114</f>
        <v>78659429</v>
      </c>
      <c r="K105" s="332">
        <f>K103+'UAT7-Jul'!K114</f>
        <v>950000</v>
      </c>
      <c r="L105" s="332">
        <f>L103+'UAT7-Jul'!L114</f>
        <v>85505700</v>
      </c>
      <c r="M105" s="332">
        <f>M103+'UAT7-Jul'!M114</f>
        <v>371540</v>
      </c>
      <c r="N105" s="332">
        <f>N103+'UAT7-Jul'!N114</f>
        <v>221075</v>
      </c>
      <c r="O105" s="400">
        <f>O103+'UAT7-Jul'!O114</f>
        <v>3650000</v>
      </c>
      <c r="P105" s="346">
        <f t="shared" si="41"/>
        <v>696309061</v>
      </c>
      <c r="Q105" s="347"/>
      <c r="R105" s="380"/>
      <c r="S105" s="380"/>
      <c r="T105" s="380"/>
      <c r="U105" s="380"/>
      <c r="V105" s="33"/>
      <c r="W105" s="45"/>
      <c r="X105" s="13"/>
      <c r="Y105" s="13"/>
      <c r="Z105" s="13"/>
      <c r="AA105" s="13"/>
      <c r="AB105" s="13"/>
      <c r="AC105" s="18"/>
      <c r="AD105"/>
      <c r="AE105"/>
    </row>
    <row r="106" spans="1:31" s="5" customFormat="1">
      <c r="A106" s="445" t="s">
        <v>489</v>
      </c>
      <c r="B106" s="332">
        <f>B100+'UAT7-Jul'!B115</f>
        <v>7381500</v>
      </c>
      <c r="C106" s="332">
        <f>C100+'UAT7-Jul'!C115</f>
        <v>6712650</v>
      </c>
      <c r="D106" s="332">
        <f>D100+'UAT7-Jul'!D115</f>
        <v>1237500</v>
      </c>
      <c r="E106" s="332">
        <f>E100+'UAT7-Jul'!E115</f>
        <v>8557500</v>
      </c>
      <c r="F106" s="332">
        <f>F100+'UAT7-Jul'!F115</f>
        <v>0</v>
      </c>
      <c r="G106" s="332">
        <f>G100+'UAT7-Jul'!G115</f>
        <v>0</v>
      </c>
      <c r="H106" s="332">
        <f>H100+'UAT7-Jul'!H115</f>
        <v>4323000</v>
      </c>
      <c r="I106" s="332">
        <f>I100+'UAT7-Jul'!I115</f>
        <v>3906000</v>
      </c>
      <c r="J106" s="332">
        <f>J100+'UAT7-Jul'!J115</f>
        <v>27751000</v>
      </c>
      <c r="K106" s="332">
        <f>K100+'UAT7-Jul'!K115</f>
        <v>0</v>
      </c>
      <c r="L106" s="332">
        <f>L100+'UAT7-Jul'!L115</f>
        <v>27056000</v>
      </c>
      <c r="M106" s="332">
        <f>M100+'UAT7-Jul'!M115</f>
        <v>0</v>
      </c>
      <c r="N106" s="332">
        <f>N100+'UAT7-Jul'!N115</f>
        <v>0</v>
      </c>
      <c r="O106" s="400">
        <f>O100+'UAT7-Jul'!O115</f>
        <v>0</v>
      </c>
      <c r="P106" s="346">
        <f t="shared" si="41"/>
        <v>86925150</v>
      </c>
      <c r="Q106" s="347"/>
      <c r="R106" s="347"/>
      <c r="S106" s="347"/>
      <c r="T106" s="347"/>
      <c r="U106" s="347"/>
      <c r="V106" s="33"/>
      <c r="W106" s="45"/>
      <c r="X106" s="13"/>
      <c r="Y106" s="13"/>
      <c r="Z106" s="13"/>
      <c r="AA106" s="13"/>
      <c r="AB106" s="13"/>
      <c r="AC106" s="18"/>
      <c r="AD106"/>
      <c r="AE106"/>
    </row>
    <row r="107" spans="1:31" s="5" customFormat="1">
      <c r="A107" s="412"/>
      <c r="B107" s="14"/>
      <c r="C107" s="7"/>
      <c r="D107" s="7"/>
      <c r="E107" s="322"/>
      <c r="F107" s="7"/>
      <c r="G107" s="7"/>
      <c r="H107" s="7"/>
      <c r="I107" s="7"/>
      <c r="J107" s="7"/>
      <c r="K107" s="322"/>
      <c r="L107" s="322"/>
      <c r="M107" s="322"/>
      <c r="N107" s="322"/>
      <c r="O107" s="381"/>
      <c r="P107" s="346"/>
      <c r="Q107" s="347"/>
      <c r="R107" s="347"/>
      <c r="S107" s="347"/>
      <c r="T107" s="347"/>
      <c r="U107" s="347"/>
      <c r="V107" s="32"/>
      <c r="W107" s="44"/>
      <c r="X107" s="13"/>
      <c r="Y107" s="13"/>
      <c r="Z107" s="13"/>
      <c r="AA107" s="13"/>
      <c r="AB107" s="13"/>
      <c r="AC107" s="18"/>
      <c r="AD107"/>
      <c r="AE107"/>
    </row>
    <row r="108" spans="1:31" s="5" customFormat="1" ht="15.6">
      <c r="A108" s="411" t="s">
        <v>825</v>
      </c>
      <c r="B108" s="14"/>
      <c r="C108" s="7"/>
      <c r="D108" s="7"/>
      <c r="E108" s="322"/>
      <c r="F108" s="7"/>
      <c r="G108" s="7"/>
      <c r="H108" s="7"/>
      <c r="I108" s="7"/>
      <c r="J108" s="7"/>
      <c r="K108" s="322"/>
      <c r="L108" s="322"/>
      <c r="M108" s="322"/>
      <c r="N108" s="322"/>
      <c r="O108" s="381"/>
      <c r="P108" s="346"/>
      <c r="Q108" s="347"/>
      <c r="R108" s="347"/>
      <c r="S108" s="347"/>
      <c r="T108" s="347"/>
      <c r="U108" s="347"/>
      <c r="V108" s="34"/>
      <c r="W108" s="46"/>
      <c r="X108" s="35"/>
      <c r="Y108" s="35"/>
      <c r="Z108" s="35"/>
      <c r="AA108" s="35"/>
      <c r="AB108" s="35"/>
      <c r="AC108" s="36"/>
      <c r="AD108"/>
      <c r="AE108"/>
    </row>
    <row r="109" spans="1:31" s="5" customFormat="1">
      <c r="A109" s="445" t="s">
        <v>432</v>
      </c>
      <c r="B109" s="549">
        <f>'UAT7-Jul'!B118</f>
        <v>160</v>
      </c>
      <c r="C109" s="549">
        <f>'UAT7-Jul'!C118</f>
        <v>128</v>
      </c>
      <c r="D109" s="549"/>
      <c r="E109" s="549">
        <f>'UAT7-Jul'!E118</f>
        <v>160</v>
      </c>
      <c r="F109" s="549">
        <f>'UAT7-Jul'!F118</f>
        <v>128</v>
      </c>
      <c r="G109" s="549">
        <f>'UAT7-Jul'!G118</f>
        <v>0</v>
      </c>
      <c r="H109" s="549">
        <f>'UAT7-Jul'!H118</f>
        <v>153</v>
      </c>
      <c r="I109" s="549">
        <f>'UAT7-Jul'!I118</f>
        <v>0</v>
      </c>
      <c r="J109" s="549">
        <f>'UAT7-Jul'!J118</f>
        <v>89</v>
      </c>
      <c r="K109" s="549">
        <f>'UAT7-Jul'!K118</f>
        <v>160</v>
      </c>
      <c r="L109" s="549">
        <f>'UAT7-Jul'!L118</f>
        <v>160</v>
      </c>
      <c r="M109" s="549">
        <f>'UAT7-Jul'!M118</f>
        <v>160</v>
      </c>
      <c r="N109" s="549">
        <f>'UAT7-Jul'!N118</f>
        <v>160</v>
      </c>
      <c r="O109" s="550">
        <f>'UAT7-Jul'!O118</f>
        <v>107</v>
      </c>
      <c r="P109" s="478">
        <v>1540</v>
      </c>
      <c r="Q109" s="347"/>
      <c r="R109" s="347"/>
      <c r="S109" s="347"/>
      <c r="T109" s="347"/>
      <c r="U109" s="347"/>
      <c r="V109"/>
      <c r="W109"/>
      <c r="X109"/>
      <c r="Y109"/>
      <c r="Z109"/>
      <c r="AA109"/>
      <c r="AB109"/>
      <c r="AC109"/>
      <c r="AD109"/>
      <c r="AE109"/>
    </row>
    <row r="110" spans="1:31" s="5" customFormat="1">
      <c r="A110" s="445" t="s">
        <v>433</v>
      </c>
      <c r="B110" s="549">
        <f>'UAT7-Jul'!B119</f>
        <v>80</v>
      </c>
      <c r="C110" s="549">
        <f>'UAT7-Jul'!C119</f>
        <v>64</v>
      </c>
      <c r="D110" s="549"/>
      <c r="E110" s="549">
        <f>'UAT7-Jul'!E119</f>
        <v>80</v>
      </c>
      <c r="F110" s="549">
        <f>'UAT7-Jul'!F119</f>
        <v>64</v>
      </c>
      <c r="G110" s="549">
        <f>'UAT7-Jul'!G119</f>
        <v>0</v>
      </c>
      <c r="H110" s="549">
        <f>'UAT7-Jul'!H119</f>
        <v>76</v>
      </c>
      <c r="I110" s="549">
        <f>'UAT7-Jul'!I119</f>
        <v>0</v>
      </c>
      <c r="J110" s="549">
        <f>'UAT7-Jul'!J119</f>
        <v>44</v>
      </c>
      <c r="K110" s="549">
        <f>'UAT7-Jul'!K119</f>
        <v>80</v>
      </c>
      <c r="L110" s="549">
        <f>'UAT7-Jul'!L119</f>
        <v>80</v>
      </c>
      <c r="M110" s="549">
        <f>'UAT7-Jul'!M119</f>
        <v>80</v>
      </c>
      <c r="N110" s="549">
        <f>'UAT7-Jul'!N119</f>
        <v>80</v>
      </c>
      <c r="O110" s="550">
        <f>'UAT7-Jul'!O119</f>
        <v>54</v>
      </c>
      <c r="P110" s="478">
        <v>769</v>
      </c>
      <c r="Q110" s="347"/>
      <c r="R110" s="347"/>
      <c r="S110" s="347"/>
      <c r="T110" s="347"/>
      <c r="U110" s="347"/>
      <c r="V110"/>
      <c r="W110"/>
      <c r="X110"/>
      <c r="Y110"/>
      <c r="Z110"/>
      <c r="AA110"/>
      <c r="AB110"/>
      <c r="AC110"/>
      <c r="AD110"/>
      <c r="AE110"/>
    </row>
    <row r="111" spans="1:31" s="5" customFormat="1">
      <c r="A111" s="445" t="s">
        <v>434</v>
      </c>
      <c r="B111" s="555">
        <f>'UAT7-Jul'!B120</f>
        <v>0</v>
      </c>
      <c r="C111" s="555">
        <f>'UAT7-Jul'!C120</f>
        <v>24.21</v>
      </c>
      <c r="D111" s="555"/>
      <c r="E111" s="555">
        <f>'UAT7-Jul'!E120</f>
        <v>0</v>
      </c>
      <c r="F111" s="555">
        <f>'UAT7-Jul'!F120</f>
        <v>0</v>
      </c>
      <c r="G111" s="555">
        <f>'UAT7-Jul'!G120</f>
        <v>0</v>
      </c>
      <c r="H111" s="555">
        <f>'UAT7-Jul'!H120</f>
        <v>0</v>
      </c>
      <c r="I111" s="555">
        <f>'UAT7-Jul'!I120</f>
        <v>0</v>
      </c>
      <c r="J111" s="555">
        <f>'UAT7-Jul'!J120</f>
        <v>0</v>
      </c>
      <c r="K111" s="555">
        <f>'UAT7-Jul'!K120</f>
        <v>0</v>
      </c>
      <c r="L111" s="555">
        <f>'UAT7-Jul'!L120</f>
        <v>0</v>
      </c>
      <c r="M111" s="555">
        <f>'UAT7-Jul'!M120</f>
        <v>0</v>
      </c>
      <c r="N111" s="555">
        <f>'UAT7-Jul'!N120</f>
        <v>0</v>
      </c>
      <c r="O111" s="556">
        <f>'UAT7-Jul'!O120</f>
        <v>0</v>
      </c>
      <c r="P111" s="478">
        <v>0</v>
      </c>
      <c r="Q111" s="347"/>
      <c r="R111" s="347"/>
      <c r="S111" s="347"/>
      <c r="T111" s="347"/>
      <c r="U111" s="347"/>
      <c r="V111"/>
      <c r="W111"/>
      <c r="X111"/>
      <c r="Y111"/>
      <c r="Z111"/>
      <c r="AA111"/>
      <c r="AB111"/>
      <c r="AC111"/>
      <c r="AD111"/>
      <c r="AE111"/>
    </row>
    <row r="112" spans="1:31">
      <c r="A112" s="445" t="s">
        <v>435</v>
      </c>
      <c r="B112" s="555">
        <f>'UAT7-Jul'!B121</f>
        <v>0</v>
      </c>
      <c r="C112" s="555">
        <f>'UAT7-Jul'!C121</f>
        <v>0</v>
      </c>
      <c r="D112" s="555"/>
      <c r="E112" s="555">
        <f>'UAT7-Jul'!E121</f>
        <v>0</v>
      </c>
      <c r="F112" s="555">
        <f>'UAT7-Jul'!F121</f>
        <v>0</v>
      </c>
      <c r="G112" s="555">
        <f>'UAT7-Jul'!G121</f>
        <v>0</v>
      </c>
      <c r="H112" s="555">
        <f>'UAT7-Jul'!H121</f>
        <v>0</v>
      </c>
      <c r="I112" s="555">
        <f>'UAT7-Jul'!I121</f>
        <v>0</v>
      </c>
      <c r="J112" s="555">
        <f>'UAT7-Jul'!J121</f>
        <v>0</v>
      </c>
      <c r="K112" s="555">
        <f>'UAT7-Jul'!K121</f>
        <v>0</v>
      </c>
      <c r="L112" s="555">
        <f>'UAT7-Jul'!L121</f>
        <v>0</v>
      </c>
      <c r="M112" s="555">
        <f>'UAT7-Jul'!M121</f>
        <v>0</v>
      </c>
      <c r="N112" s="555">
        <f>'UAT7-Jul'!N121</f>
        <v>0</v>
      </c>
      <c r="O112" s="556">
        <f>'UAT7-Jul'!O121</f>
        <v>0</v>
      </c>
      <c r="P112" s="478">
        <v>0</v>
      </c>
      <c r="Q112" s="347"/>
      <c r="R112" s="347"/>
      <c r="S112" s="347"/>
      <c r="T112" s="347"/>
      <c r="U112" s="347"/>
      <c r="V112"/>
      <c r="W112"/>
      <c r="X112"/>
      <c r="Y112"/>
      <c r="Z112"/>
      <c r="AA112"/>
      <c r="AB112"/>
      <c r="AC112"/>
    </row>
    <row r="113" spans="1:31">
      <c r="A113" s="445" t="s">
        <v>436</v>
      </c>
      <c r="B113" s="555">
        <f>'UAT7-Jul'!B122</f>
        <v>14.08</v>
      </c>
      <c r="C113" s="555">
        <f>'UAT7-Jul'!C122</f>
        <v>0</v>
      </c>
      <c r="D113" s="555"/>
      <c r="E113" s="555">
        <f>'UAT7-Jul'!E122</f>
        <v>0</v>
      </c>
      <c r="F113" s="555">
        <f>'UAT7-Jul'!F122</f>
        <v>0</v>
      </c>
      <c r="G113" s="555">
        <f>'UAT7-Jul'!G122</f>
        <v>0</v>
      </c>
      <c r="H113" s="555">
        <f>'UAT7-Jul'!H122</f>
        <v>0</v>
      </c>
      <c r="I113" s="555">
        <f>'UAT7-Jul'!I122</f>
        <v>0</v>
      </c>
      <c r="J113" s="555">
        <f>'UAT7-Jul'!J122</f>
        <v>0</v>
      </c>
      <c r="K113" s="555">
        <f>'UAT7-Jul'!K122</f>
        <v>0</v>
      </c>
      <c r="L113" s="555">
        <f>'UAT7-Jul'!L122</f>
        <v>0</v>
      </c>
      <c r="M113" s="555">
        <f>'UAT7-Jul'!M122</f>
        <v>0</v>
      </c>
      <c r="N113" s="555">
        <f>'UAT7-Jul'!N122</f>
        <v>0</v>
      </c>
      <c r="O113" s="556">
        <f>'UAT7-Jul'!O122</f>
        <v>0</v>
      </c>
      <c r="P113" s="478">
        <v>0</v>
      </c>
      <c r="Q113" s="537"/>
      <c r="R113" s="537"/>
      <c r="S113" s="537"/>
      <c r="T113" s="537"/>
      <c r="U113" s="537"/>
      <c r="V113"/>
      <c r="W113"/>
      <c r="X113"/>
      <c r="Y113"/>
      <c r="Z113"/>
      <c r="AA113"/>
      <c r="AB113"/>
      <c r="AC113"/>
    </row>
    <row r="114" spans="1:31">
      <c r="A114" s="445"/>
      <c r="F114" s="5"/>
      <c r="G114" s="5"/>
      <c r="H114" s="5"/>
      <c r="I114" s="5"/>
      <c r="P114" s="347"/>
      <c r="R114" s="347"/>
      <c r="S114" s="347"/>
      <c r="T114" s="347"/>
      <c r="U114" s="347"/>
      <c r="V114"/>
      <c r="W114"/>
      <c r="X114"/>
      <c r="Y114"/>
      <c r="Z114"/>
      <c r="AA114"/>
      <c r="AB114"/>
      <c r="AC114"/>
    </row>
    <row r="115" spans="1:31" ht="15.6">
      <c r="A115" s="411" t="s">
        <v>437</v>
      </c>
    </row>
    <row r="116" spans="1:31">
      <c r="A116" s="6" t="s">
        <v>863</v>
      </c>
      <c r="B116" s="551">
        <f>IF(OR(B11="S",B11="C"),0,IF(OR(B11="1",B11="3"),ROUND(20*8*B16/365,5),ROUND(20*'New Hire'!C24*B16/365,5)))+'UAT7-Jul'!B125</f>
        <v>106.52052999999999</v>
      </c>
      <c r="C116" s="551">
        <f>IF(OR(C11="S",C11="C"),0,IF(OR(C11="1",C11="3"),ROUND(20*8*C16/365,5),ROUND(20*'New Hire'!D24*C16/365,5)))+'UAT7-Jul'!C125</f>
        <v>80.459230000000005</v>
      </c>
      <c r="D116" s="551"/>
      <c r="E116" s="551">
        <f>IF(OR(E11="S",E11="C"),0,IF(OR(E11="1",E11="3"),ROUND(20*8*E16/365,5),ROUND(20*'New Hire'!F24*E16/365,5)))+'UAT7-Jul'!E125</f>
        <v>106.52052999999999</v>
      </c>
      <c r="F116" s="551">
        <f>IF(OR(F11="S",F11="C"),0,IF(OR(F11="1",F11="3"),ROUND(20*8*F16/365,5),ROUND(20*'New Hire'!G24*F16/365,5)))+'UAT7-Jul'!F125</f>
        <v>85.216429999999988</v>
      </c>
      <c r="G116" s="551">
        <f>IF(OR(G11="S",G11="C"),0,IF(OR(G11="1",G11="3"),ROUND(20*8*G16/365,5),ROUND(20*'New Hire'!H24*G16/365,5)))+'UAT7-Jul'!G125</f>
        <v>0</v>
      </c>
      <c r="H116" s="551">
        <f>IF(OR(H11="S",H11="C"),0,IF(OR(H11="1",H11="3"),ROUND(20*8*H16/365,5),ROUND(20*'New Hire'!I24*H16/365,5)))+'UAT7-Jul'!H125</f>
        <v>53.260269999999998</v>
      </c>
      <c r="I116" s="551">
        <f>IF(OR(I11="S",I11="C"),0,IF(OR(I11="1",I11="3"),ROUND(20*8*I16/365,5),ROUND(20*'New Hire'!J24*I16/365,5)))+'UAT7-Jul'!I125</f>
        <v>0</v>
      </c>
      <c r="J116" s="551">
        <f>IF(OR(J11="S",J11="C"),0,IF(OR(J11="1",J11="3"),ROUND(20*8*J16/365,5),ROUND(20*'New Hire'!K24*J16/365,5)))+'UAT7-Jul'!J125</f>
        <v>28.273969999999998</v>
      </c>
      <c r="K116" s="551">
        <f>IF(OR(K11="S",K11="C"),0,IF(OR(K11="1",K11="3"),ROUND(20*8*K16/365,5),ROUND(20*'New Hire'!L24*K16/365,5)))+'UAT7-Jul'!K125</f>
        <v>106.52052999999999</v>
      </c>
      <c r="L116" s="551">
        <f>IF(OR(L11="S",L11="C"),0,IF(OR(L11="1",L11="3"),ROUND(20*8*L16/365,5),ROUND(20*'New Hire'!M24*L16/365,5)))+'UAT7-Jul'!L125</f>
        <v>106.52052999999999</v>
      </c>
      <c r="M116" s="551">
        <f>IF(OR(M11="S",M11="C"),0,IF(OR(M11="1",M11="3"),ROUND(20*8*M16/365,5),ROUND(20*'New Hire'!N24*M16/365,5)))+'UAT7-Jul'!M125</f>
        <v>106.52052999999999</v>
      </c>
      <c r="N116" s="551">
        <f>IF(OR(N11="S",N11="C"),0,IF(OR(N11="1",N11="3"),ROUND(20*8*N16/365,5),ROUND(20*'New Hire'!O24*N16/365,5)))+'UAT7-Jul'!N125</f>
        <v>106.52052999999999</v>
      </c>
      <c r="O116" s="551">
        <v>0</v>
      </c>
    </row>
    <row r="117" spans="1:31">
      <c r="A117" s="6" t="s">
        <v>864</v>
      </c>
      <c r="B117" s="552">
        <f>IF(OR(B11="S",B11="C"),0,IF(OR(B11="1",B11="3"),ROUND(10*8*B16/365,5),ROUND(10*'New Hire'!C24*B16/365,5)))+'UAT7-Jul'!B126</f>
        <v>53.260269999999998</v>
      </c>
      <c r="C117" s="552">
        <f>IF(OR(C11="S",C11="C"),0,IF(OR(C11="1",C11="3"),ROUND(10*8*C16/365,5),ROUND(10*'New Hire'!D24*C16/365,5)))+'UAT7-Jul'!C126</f>
        <v>40.229610000000001</v>
      </c>
      <c r="D117" s="552"/>
      <c r="E117" s="552">
        <f>IF(OR(E11="S",E11="C"),0,IF(OR(E11="1",E11="3"),ROUND(10*8*E16/365,5),ROUND(10*'New Hire'!F24*E16/365,5)))+'UAT7-Jul'!E126</f>
        <v>53.260269999999998</v>
      </c>
      <c r="F117" s="552">
        <f>IF(OR(F11="S",F11="C"),0,IF(OR(F11="1",F11="3"),ROUND(10*8*F16/365,5),ROUND(10*'New Hire'!G24*F16/365,5)))+'UAT7-Jul'!F126</f>
        <v>42.608229999999999</v>
      </c>
      <c r="G117" s="552">
        <f>IF(OR(G11="S",G11="C"),0,IF(OR(G11="1",G11="3"),ROUND(10*8*G16/365,5),ROUND(10*'New Hire'!H24*G16/365,5)))+'UAT7-Jul'!G126</f>
        <v>0</v>
      </c>
      <c r="H117" s="552">
        <f>IF(OR(H11="S",H11="C"),0,IF(OR(H11="1",H11="3"),ROUND(10*8*H16/365,5),ROUND(10*'New Hire'!I24*H16/365,5)))+'UAT7-Jul'!H126</f>
        <v>26.630129999999998</v>
      </c>
      <c r="I117" s="552">
        <f>IF(OR(I11="S",I11="C"),0,IF(OR(I11="1",I11="3"),ROUND(10*8*I16/365,5),ROUND(10*'New Hire'!J24*I16/365,5)))+'UAT7-Jul'!I126</f>
        <v>0</v>
      </c>
      <c r="J117" s="552">
        <f>IF(OR(J11="S",J11="C"),0,IF(OR(J11="1",J11="3"),ROUND(10*8*J16/365,5),ROUND(10*'New Hire'!K24*J16/365,5)))+'UAT7-Jul'!J126</f>
        <v>14.137</v>
      </c>
      <c r="K117" s="552">
        <f>IF(OR(K11="S",K11="C"),0,IF(OR(K11="1",K11="3"),ROUND(10*8*K16/365,5),ROUND(10*'New Hire'!L24*K16/365,5)))+'UAT7-Jul'!K126</f>
        <v>53.260269999999998</v>
      </c>
      <c r="L117" s="552">
        <f>IF(OR(L11="S",L11="C"),0,IF(OR(L11="1",L11="3"),ROUND(10*8*L16/365,5),ROUND(10*'New Hire'!M24*L16/365,5)))+'UAT7-Jul'!L126</f>
        <v>53.260269999999998</v>
      </c>
      <c r="M117" s="552">
        <f>IF(OR(M11="S",M11="C"),0,IF(OR(M11="1",M11="3"),ROUND(10*8*M16/365,5),ROUND(10*'New Hire'!N24*M16/365,5)))+'UAT7-Jul'!M126</f>
        <v>53.260269999999998</v>
      </c>
      <c r="N117" s="552">
        <f>IF(OR(N11="S",N11="C"),0,IF(OR(N11="1",N11="3"),ROUND(10*8*N16/365,5),ROUND(10*'New Hire'!O24*N16/365,5)))+'UAT7-Jul'!N126</f>
        <v>53.260269999999998</v>
      </c>
      <c r="O117" s="552">
        <v>0</v>
      </c>
    </row>
    <row r="118" spans="1:31">
      <c r="A118" s="445" t="s">
        <v>829</v>
      </c>
      <c r="B118" s="551">
        <f>IF('New Hire'!C78=1,ROUND(25/10*B13%/365,5)*B16,0)+'UAT7-Jul'!B127</f>
        <v>0</v>
      </c>
      <c r="C118" s="551">
        <f>IF('New Hire'!D78=1,ROUND(25/10*C13%/365,5)*C16,0)+'UAT7-Jul'!C127</f>
        <v>0</v>
      </c>
      <c r="D118" s="551"/>
      <c r="E118" s="551">
        <f>IF('New Hire'!F78=1,ROUND(25/10*E13%/365,5)*E16,0)+'UAT7-Jul'!E127</f>
        <v>0</v>
      </c>
      <c r="F118" s="551">
        <f>IF('New Hire'!G78=1,ROUND(25/10*F13%/365,5)*F16,0)+'UAT7-Jul'!F127</f>
        <v>1.6645500000000002</v>
      </c>
      <c r="G118" s="551">
        <f>IF('New Hire'!H78=1,ROUND(25/10*G13%/365,5)*G16,0)+'UAT7-Jul'!G127</f>
        <v>0</v>
      </c>
      <c r="H118" s="551">
        <f>IF('New Hire'!I78=1,ROUND(25/10*H13%/365,5)*H16,0)+'UAT7-Jul'!H127</f>
        <v>0</v>
      </c>
      <c r="I118" s="551">
        <f>IF('New Hire'!J78=1,ROUND(25/10*I13%/365,5)*I16,0)+'UAT7-Jul'!I127</f>
        <v>0</v>
      </c>
      <c r="J118" s="551">
        <f>IF('New Hire'!K78=1,ROUND(25/10*J13%/365,5)*J16,0)+'UAT7-Jul'!J127</f>
        <v>0</v>
      </c>
      <c r="K118" s="551">
        <f>IF('New Hire'!L78=1,ROUND(25/10*K13%/365,5)*K16,0)+'UAT7-Jul'!K127</f>
        <v>0</v>
      </c>
      <c r="L118" s="551">
        <f>IF('New Hire'!M78=1,ROUND(25/10*L13%/365,5)*L16,0)+'UAT7-Jul'!L127</f>
        <v>0</v>
      </c>
      <c r="M118" s="551">
        <f>IF('New Hire'!N78=1,ROUND(25/10*M13%/365,5)*M16,0)+'UAT7-Jul'!M127</f>
        <v>0</v>
      </c>
      <c r="N118" s="551">
        <f>IF('New Hire'!O78=1,ROUND(25/10*N13%/365,5)*N16,0)+'UAT7-Jul'!N127</f>
        <v>0</v>
      </c>
      <c r="O118" s="551">
        <f>IF('New Hire'!P78=1,ROUND(25/10*O13%/365,5)*O16,0)+'UAT7-Jul'!O127</f>
        <v>0</v>
      </c>
      <c r="P118" s="291"/>
    </row>
    <row r="119" spans="1:31">
      <c r="A119" s="445" t="s">
        <v>830</v>
      </c>
      <c r="B119" s="552">
        <f>IF(B11="C",0,IF('New Hire'!C78=1,0,ROUND(5/5*B13%/365,5)*B16)+'UAT7-Jul'!B128)</f>
        <v>0.66581999999999997</v>
      </c>
      <c r="C119" s="552">
        <f>IF(C11="C",0,IF('New Hire'!D78=1,0,ROUND(5/5*C13%/365,5)*C16)+'UAT7-Jul'!C128)</f>
        <v>0.33290999999999998</v>
      </c>
      <c r="D119" s="552"/>
      <c r="E119" s="552">
        <f>IF(E11="C",0,IF('New Hire'!F78=1,0,ROUND(5/5*E13%/365,5)*E16)+'UAT7-Jul'!E128)</f>
        <v>0.66581999999999997</v>
      </c>
      <c r="F119" s="552">
        <f>IF(F11="C",0,IF('New Hire'!G78=1,0,ROUND(5/5*F13%/365,5)*F16)+'UAT7-Jul'!F128)</f>
        <v>0</v>
      </c>
      <c r="G119" s="552">
        <f>IF(G11="C",0,IF('New Hire'!H78=1,0,ROUND(5/5*G13%/365,5)*G16)+'UAT7-Jul'!G128)</f>
        <v>0</v>
      </c>
      <c r="H119" s="552">
        <f>IF(H11="C",0,IF('New Hire'!I78=1,0,ROUND(5/5*H13%/365,5)*H16)+'UAT7-Jul'!H128)</f>
        <v>0.33290999999999998</v>
      </c>
      <c r="I119" s="552">
        <f>IF(I11="C",0,IF('New Hire'!J78=1,0,ROUND(5/5*I13%/365,5)*I16)+'UAT7-Jul'!I128)</f>
        <v>0.6192399999999999</v>
      </c>
      <c r="J119" s="552">
        <f>IF(J11="C",0,IF('New Hire'!K78=1,0,ROUND(5/5*J13%/365,5)*J16)+'UAT7-Jul'!J128)</f>
        <v>0.29454999999999998</v>
      </c>
      <c r="K119" s="552">
        <f>IF(K11="C",0,IF('New Hire'!L78=1,0,ROUND(5/5*K13%/365,5)*K16)+'UAT7-Jul'!K128)</f>
        <v>0.66581999999999997</v>
      </c>
      <c r="L119" s="552">
        <f>IF(L11="C",0,IF('New Hire'!M78=1,0,ROUND(5/5*L13%/365,5)*L16)+'UAT7-Jul'!L128)</f>
        <v>0.66581999999999997</v>
      </c>
      <c r="M119" s="552">
        <f>IF(M11="C",0,IF('New Hire'!N78=1,0,ROUND(5/5*M13%/365,5)*M16)+'UAT7-Jul'!M128)</f>
        <v>0.66581999999999997</v>
      </c>
      <c r="N119" s="552">
        <f>IF(N11="C",0,IF('New Hire'!O78=1,0,ROUND(5/5*N13%/365,5)*N16)+'UAT7-Jul'!N128)</f>
        <v>0.66581999999999997</v>
      </c>
      <c r="O119" s="552">
        <f>IF(O11="C",0,IF('New Hire'!P78=1,0,ROUND(5/5*O13%/365,5)*O16)+'UAT7-Jul'!O128)</f>
        <v>0</v>
      </c>
    </row>
    <row r="120" spans="1:31">
      <c r="A120" s="445"/>
      <c r="B120" s="549"/>
      <c r="C120" s="549"/>
      <c r="D120" s="549"/>
      <c r="E120" s="549"/>
      <c r="F120" s="549"/>
      <c r="G120" s="549"/>
      <c r="H120" s="549"/>
      <c r="I120" s="549"/>
      <c r="J120" s="549"/>
      <c r="K120" s="549"/>
      <c r="L120" s="549"/>
      <c r="M120" s="549"/>
      <c r="N120" s="549"/>
      <c r="O120" s="549"/>
    </row>
    <row r="121" spans="1:31" ht="15.6">
      <c r="A121" s="411" t="s">
        <v>629</v>
      </c>
    </row>
    <row r="122" spans="1:31" s="160" customFormat="1">
      <c r="A122" s="535" t="s">
        <v>479</v>
      </c>
      <c r="B122" s="536">
        <v>7000000</v>
      </c>
      <c r="C122" s="536">
        <v>6200000</v>
      </c>
      <c r="D122" s="536"/>
      <c r="E122" s="536">
        <v>11000000</v>
      </c>
      <c r="F122" s="536">
        <v>16000000</v>
      </c>
      <c r="G122"/>
      <c r="H122" s="536">
        <v>5500</v>
      </c>
      <c r="I122" s="536">
        <v>4200</v>
      </c>
      <c r="J122" s="536">
        <v>55000000</v>
      </c>
      <c r="K122" s="536">
        <v>10000000</v>
      </c>
      <c r="L122" s="536">
        <v>11500000</v>
      </c>
      <c r="M122" s="536">
        <v>7000000</v>
      </c>
      <c r="N122" s="536">
        <v>8000000</v>
      </c>
      <c r="O122"/>
      <c r="P122"/>
      <c r="Q122"/>
      <c r="R122"/>
      <c r="S122"/>
      <c r="T122"/>
      <c r="U122"/>
      <c r="V122" s="5"/>
      <c r="W122" s="5"/>
      <c r="X122" s="5"/>
      <c r="Y122" s="5"/>
      <c r="Z122" s="5"/>
      <c r="AA122" s="5"/>
      <c r="AB122" s="5"/>
      <c r="AC122" s="5"/>
      <c r="AD122"/>
      <c r="AE122"/>
    </row>
    <row r="123" spans="1:31">
      <c r="A123" s="445" t="s">
        <v>776</v>
      </c>
      <c r="B123" s="452"/>
      <c r="C123" s="452"/>
      <c r="D123" s="452"/>
      <c r="E123" s="452"/>
      <c r="F123" s="452"/>
      <c r="G123" s="536">
        <v>250</v>
      </c>
      <c r="H123" s="452"/>
      <c r="I123" s="452"/>
      <c r="J123" s="452"/>
      <c r="K123" s="452"/>
      <c r="L123" s="452"/>
      <c r="M123" s="452"/>
      <c r="N123" s="452"/>
      <c r="O123" s="536">
        <v>900000</v>
      </c>
      <c r="AD123" s="160"/>
      <c r="AE123" s="160"/>
    </row>
    <row r="124" spans="1:31">
      <c r="A124" s="451" t="s">
        <v>496</v>
      </c>
      <c r="B124" s="452">
        <v>700000</v>
      </c>
      <c r="C124" s="452">
        <v>620000</v>
      </c>
      <c r="D124" s="452"/>
      <c r="E124" s="452">
        <v>0</v>
      </c>
      <c r="F124" s="452">
        <v>0</v>
      </c>
      <c r="G124" s="452">
        <v>0</v>
      </c>
      <c r="H124" s="452">
        <v>550</v>
      </c>
      <c r="I124" s="452">
        <v>0</v>
      </c>
      <c r="J124" s="452">
        <v>5500000</v>
      </c>
      <c r="K124" s="452">
        <v>1000000</v>
      </c>
      <c r="L124" s="452">
        <v>0</v>
      </c>
      <c r="M124" s="452">
        <v>1400000</v>
      </c>
      <c r="N124" s="452">
        <v>1200000</v>
      </c>
      <c r="O124" s="452">
        <f>'New Hire'!P34</f>
        <v>0</v>
      </c>
    </row>
    <row r="125" spans="1:31" s="5" customFormat="1">
      <c r="A125" s="415" t="s">
        <v>569</v>
      </c>
      <c r="B125" s="452">
        <v>1400000</v>
      </c>
      <c r="C125" s="452">
        <v>1240000</v>
      </c>
      <c r="D125" s="452"/>
      <c r="E125" s="452">
        <v>0</v>
      </c>
      <c r="F125" s="452">
        <v>0</v>
      </c>
      <c r="G125" s="452">
        <v>0</v>
      </c>
      <c r="H125" s="452">
        <v>1100</v>
      </c>
      <c r="I125" s="452">
        <v>0</v>
      </c>
      <c r="J125" s="452">
        <v>11000000</v>
      </c>
      <c r="K125" s="452">
        <v>2000000</v>
      </c>
      <c r="L125" s="452">
        <v>0</v>
      </c>
      <c r="M125" s="452">
        <v>2100000</v>
      </c>
      <c r="N125" s="452">
        <v>1650000</v>
      </c>
      <c r="O125" s="452">
        <f>'New Hire'!P36</f>
        <v>0</v>
      </c>
      <c r="P125"/>
      <c r="Q125"/>
      <c r="R125"/>
      <c r="S125"/>
      <c r="T125"/>
      <c r="U125"/>
      <c r="AD125"/>
      <c r="AE125"/>
    </row>
    <row r="126" spans="1:31" s="5" customFormat="1">
      <c r="A126" s="423" t="s">
        <v>495</v>
      </c>
      <c r="B126" s="452">
        <f>AA42</f>
        <v>3000000</v>
      </c>
      <c r="C126" s="452">
        <f>AA43</f>
        <v>3000000</v>
      </c>
      <c r="D126" s="452"/>
      <c r="E126" s="452">
        <f>AA44</f>
        <v>3000000</v>
      </c>
      <c r="F126" s="452">
        <f>AA45</f>
        <v>3000000</v>
      </c>
      <c r="G126" s="452"/>
      <c r="H126" s="452"/>
      <c r="I126" s="452"/>
      <c r="J126" s="452">
        <f>AA46</f>
        <v>3000000</v>
      </c>
      <c r="K126" s="452">
        <f>AA47</f>
        <v>3000000</v>
      </c>
      <c r="L126" s="452">
        <f>AA48</f>
        <v>3000000</v>
      </c>
      <c r="M126" s="452">
        <f>AA49</f>
        <v>3000000</v>
      </c>
      <c r="N126" s="452">
        <f>AA50</f>
        <v>3000000</v>
      </c>
      <c r="O126" s="452"/>
      <c r="P126"/>
      <c r="Q126"/>
      <c r="R126"/>
      <c r="S126"/>
      <c r="T126"/>
      <c r="U126"/>
      <c r="AD126"/>
      <c r="AE126"/>
    </row>
    <row r="127" spans="1:31" s="5" customFormat="1">
      <c r="A127" s="412" t="s">
        <v>530</v>
      </c>
      <c r="B127" s="452">
        <f>AA51</f>
        <v>3500000</v>
      </c>
      <c r="C127" s="452">
        <f>AA52</f>
        <v>3500000</v>
      </c>
      <c r="D127" s="452"/>
      <c r="E127" s="452">
        <f>AA53</f>
        <v>3500000</v>
      </c>
      <c r="F127" s="452">
        <f>AA54</f>
        <v>3500000</v>
      </c>
      <c r="G127" s="452"/>
      <c r="H127" s="452">
        <f>AA55</f>
        <v>200</v>
      </c>
      <c r="I127" s="452">
        <f>AA56</f>
        <v>200</v>
      </c>
      <c r="J127" s="452">
        <f>AA57</f>
        <v>3500000</v>
      </c>
      <c r="K127" s="452">
        <f>AA58</f>
        <v>3500000</v>
      </c>
      <c r="L127" s="452">
        <f>AA59</f>
        <v>3500000</v>
      </c>
      <c r="M127" s="452">
        <f>AA60</f>
        <v>3500000</v>
      </c>
      <c r="N127" s="452">
        <f>AA61</f>
        <v>3500000</v>
      </c>
      <c r="O127" s="452"/>
      <c r="P127"/>
      <c r="Q127"/>
      <c r="R127"/>
      <c r="S127"/>
      <c r="T127"/>
      <c r="U127"/>
      <c r="AD127"/>
      <c r="AE127"/>
    </row>
    <row r="128" spans="1:31" s="5" customFormat="1">
      <c r="A128" s="423" t="s">
        <v>598</v>
      </c>
      <c r="B128" s="452">
        <f>AA73</f>
        <v>2500000</v>
      </c>
      <c r="C128" s="452">
        <f>AA74</f>
        <v>2500000</v>
      </c>
      <c r="D128" s="452"/>
      <c r="E128" s="452">
        <f>AA75</f>
        <v>2500000</v>
      </c>
      <c r="F128" s="452">
        <f>AA76</f>
        <v>2500000</v>
      </c>
      <c r="G128" s="452"/>
      <c r="H128" s="452"/>
      <c r="I128" s="452"/>
      <c r="J128" s="452">
        <f>AA77</f>
        <v>2500000</v>
      </c>
      <c r="K128" s="452">
        <f>AA78</f>
        <v>2500000</v>
      </c>
      <c r="L128" s="452">
        <f>AA79</f>
        <v>2500000</v>
      </c>
      <c r="M128" s="452">
        <f>AA80</f>
        <v>2500000</v>
      </c>
      <c r="N128" s="452">
        <f>AA81</f>
        <v>2500000</v>
      </c>
      <c r="O128" s="452"/>
      <c r="P128"/>
      <c r="Q128"/>
      <c r="R128"/>
      <c r="S128"/>
      <c r="T128"/>
      <c r="U128"/>
      <c r="AD128"/>
      <c r="AE128"/>
    </row>
    <row r="129" spans="1:31" s="5" customFormat="1">
      <c r="A129" s="415" t="s">
        <v>493</v>
      </c>
      <c r="B129" s="452">
        <f>AA82</f>
        <v>730000</v>
      </c>
      <c r="C129" s="452">
        <f>AA83</f>
        <v>730000</v>
      </c>
      <c r="D129" s="452"/>
      <c r="E129" s="452">
        <f>AA84</f>
        <v>730000</v>
      </c>
      <c r="F129" s="452">
        <f>AA85</f>
        <v>730000</v>
      </c>
      <c r="G129" s="452"/>
      <c r="H129" s="452"/>
      <c r="I129" s="452"/>
      <c r="J129" s="452">
        <f>AA86</f>
        <v>730000</v>
      </c>
      <c r="K129" s="452">
        <f>AA87</f>
        <v>730000</v>
      </c>
      <c r="L129" s="452">
        <f>AA88</f>
        <v>730000</v>
      </c>
      <c r="M129" s="452">
        <f>AA89</f>
        <v>730000</v>
      </c>
      <c r="N129" s="452">
        <f>AA90</f>
        <v>730000</v>
      </c>
      <c r="O129" s="452"/>
      <c r="P129"/>
      <c r="Q129"/>
      <c r="R129"/>
      <c r="S129"/>
      <c r="T129"/>
      <c r="U129"/>
      <c r="AD129"/>
      <c r="AE129"/>
    </row>
    <row r="130" spans="1:31" s="5" customFormat="1">
      <c r="A130" s="415" t="s">
        <v>499</v>
      </c>
      <c r="B130" s="452">
        <f>AA62</f>
        <v>4000000</v>
      </c>
      <c r="C130" s="452">
        <f>AA63</f>
        <v>4000000</v>
      </c>
      <c r="D130" s="452"/>
      <c r="E130" s="452">
        <f>AA64</f>
        <v>4000000</v>
      </c>
      <c r="F130" s="452">
        <f>AA65</f>
        <v>4000000</v>
      </c>
      <c r="G130" s="452"/>
      <c r="H130" s="452">
        <f>AA66</f>
        <v>225</v>
      </c>
      <c r="I130" s="452">
        <f>AA67</f>
        <v>225</v>
      </c>
      <c r="J130" s="452">
        <f>AA68</f>
        <v>4000000</v>
      </c>
      <c r="K130" s="452">
        <f>AA69</f>
        <v>4000000</v>
      </c>
      <c r="L130" s="452">
        <f>AA70</f>
        <v>4000000</v>
      </c>
      <c r="M130" s="452">
        <f>AA71</f>
        <v>4000000</v>
      </c>
      <c r="N130" s="452">
        <f>AA72</f>
        <v>4000000</v>
      </c>
      <c r="O130" s="452"/>
      <c r="P130"/>
      <c r="Q130"/>
      <c r="R130"/>
      <c r="S130"/>
      <c r="T130"/>
      <c r="U130"/>
      <c r="AD130"/>
      <c r="AE130"/>
    </row>
    <row r="131" spans="1:31" s="5" customFormat="1">
      <c r="A131" s="6" t="s">
        <v>630</v>
      </c>
      <c r="B131" s="452"/>
      <c r="C131" s="452"/>
      <c r="D131" s="452"/>
      <c r="E131" s="452"/>
      <c r="F131" s="452"/>
      <c r="G131" s="452"/>
      <c r="H131" s="452"/>
      <c r="I131" s="452"/>
      <c r="J131" s="452"/>
      <c r="K131" s="452"/>
      <c r="L131" s="452"/>
      <c r="M131" s="452"/>
      <c r="N131" s="452"/>
      <c r="O131" s="452"/>
      <c r="P131"/>
      <c r="Q131"/>
      <c r="R131"/>
      <c r="S131"/>
      <c r="T131"/>
      <c r="U131"/>
      <c r="AD131"/>
      <c r="AE131"/>
    </row>
    <row r="132" spans="1:31" s="5" customFormat="1">
      <c r="A132" s="6" t="s">
        <v>631</v>
      </c>
      <c r="B132" s="452"/>
      <c r="C132" s="452"/>
      <c r="D132" s="452"/>
      <c r="E132" s="452"/>
      <c r="F132" s="452"/>
      <c r="G132" s="452"/>
      <c r="H132" s="452"/>
      <c r="I132" s="452"/>
      <c r="J132" s="452"/>
      <c r="K132" s="452"/>
      <c r="L132" s="452"/>
      <c r="M132" s="452"/>
      <c r="N132" s="452"/>
      <c r="O132" s="452"/>
      <c r="P132"/>
      <c r="Q132"/>
      <c r="R132"/>
      <c r="S132"/>
      <c r="T132"/>
      <c r="U132"/>
      <c r="AD132"/>
      <c r="AE132"/>
    </row>
    <row r="133" spans="1:31" s="5" customFormat="1">
      <c r="A133" s="6" t="s">
        <v>632</v>
      </c>
      <c r="B133" s="452"/>
      <c r="C133" s="452"/>
      <c r="D133" s="452"/>
      <c r="E133" s="452"/>
      <c r="F133" s="452"/>
      <c r="G133" s="452"/>
      <c r="H133" s="452"/>
      <c r="I133" s="452"/>
      <c r="J133" s="452"/>
      <c r="K133" s="452"/>
      <c r="L133" s="452"/>
      <c r="M133" s="452"/>
      <c r="N133" s="452"/>
      <c r="O133" s="452"/>
      <c r="P133"/>
      <c r="Q133"/>
      <c r="R133"/>
      <c r="S133"/>
      <c r="T133"/>
      <c r="U133"/>
      <c r="AD133"/>
      <c r="AE133"/>
    </row>
    <row r="134" spans="1:31">
      <c r="A134" s="412" t="s">
        <v>613</v>
      </c>
      <c r="B134" s="452"/>
      <c r="C134" s="452"/>
      <c r="D134" s="452"/>
      <c r="E134" s="452"/>
      <c r="F134" s="452"/>
      <c r="G134" s="452"/>
      <c r="H134" s="452">
        <v>100</v>
      </c>
      <c r="I134" s="452">
        <v>100</v>
      </c>
      <c r="J134" s="452"/>
      <c r="K134" s="452"/>
      <c r="L134" s="452"/>
      <c r="M134" s="452"/>
      <c r="N134" s="452"/>
      <c r="O134" s="452"/>
    </row>
    <row r="135" spans="1:31">
      <c r="A135" s="412" t="s">
        <v>614</v>
      </c>
      <c r="B135" s="452"/>
      <c r="C135" s="452"/>
      <c r="D135" s="452"/>
      <c r="E135" s="452"/>
      <c r="F135" s="452"/>
      <c r="G135" s="452"/>
      <c r="H135" s="452">
        <v>200</v>
      </c>
      <c r="I135" s="452">
        <v>200</v>
      </c>
      <c r="J135" s="452"/>
      <c r="K135" s="452"/>
      <c r="L135" s="452"/>
      <c r="M135" s="452"/>
      <c r="N135" s="452"/>
      <c r="O135" s="452"/>
    </row>
    <row r="136" spans="1:31">
      <c r="A136" s="6" t="s">
        <v>633</v>
      </c>
      <c r="B136" s="452">
        <f>IF(OR(B18="A",B18="B"),B122,(B122-B134-B135)*B86)</f>
        <v>7000000</v>
      </c>
      <c r="C136" s="452">
        <f>IF(OR(C18="A",C18="B"),C122,(C122-C134-C135)*C86)</f>
        <v>6200000</v>
      </c>
      <c r="D136" s="452"/>
      <c r="E136" s="452">
        <f t="shared" ref="E136:O136" si="49">IF(OR(E18="A",E18="B"),E122,(E122-E134-E135)*E86)</f>
        <v>11000000</v>
      </c>
      <c r="F136" s="452">
        <f t="shared" si="49"/>
        <v>16000000</v>
      </c>
      <c r="G136" s="452">
        <f t="shared" si="49"/>
        <v>0</v>
      </c>
      <c r="H136" s="452">
        <f t="shared" si="49"/>
        <v>5200</v>
      </c>
      <c r="I136" s="452">
        <f t="shared" si="49"/>
        <v>3900</v>
      </c>
      <c r="J136" s="452">
        <f t="shared" si="49"/>
        <v>55000000</v>
      </c>
      <c r="K136" s="452">
        <f t="shared" si="49"/>
        <v>10000000</v>
      </c>
      <c r="L136" s="452">
        <f t="shared" si="49"/>
        <v>11500000</v>
      </c>
      <c r="M136" s="452">
        <f t="shared" si="49"/>
        <v>7000000</v>
      </c>
      <c r="N136" s="452">
        <f t="shared" si="49"/>
        <v>8000000</v>
      </c>
      <c r="O136" s="452">
        <f t="shared" si="49"/>
        <v>0</v>
      </c>
    </row>
    <row r="137" spans="1:31">
      <c r="A137" s="6" t="s">
        <v>635</v>
      </c>
      <c r="B137" s="452">
        <f t="shared" ref="B137:O137" si="50">IF(B11="C",0,IF(OR(B18="A",B18="B"),0,ROUND(B136*$B$5,0)+ROUND(B124*$B$5,0)+ROUND(B125*$B$5,0)+ROUND(B127*$B$5,0)))</f>
        <v>0</v>
      </c>
      <c r="C137" s="452">
        <f t="shared" si="50"/>
        <v>0</v>
      </c>
      <c r="D137" s="452">
        <f t="shared" si="50"/>
        <v>0</v>
      </c>
      <c r="E137" s="452">
        <f t="shared" si="50"/>
        <v>0</v>
      </c>
      <c r="F137" s="452">
        <f t="shared" si="50"/>
        <v>0</v>
      </c>
      <c r="G137" s="452">
        <f t="shared" si="50"/>
        <v>0</v>
      </c>
      <c r="H137" s="452">
        <f t="shared" si="50"/>
        <v>165675000</v>
      </c>
      <c r="I137" s="452">
        <f t="shared" si="50"/>
        <v>96350000</v>
      </c>
      <c r="J137" s="452">
        <f t="shared" si="50"/>
        <v>0</v>
      </c>
      <c r="K137" s="452">
        <f t="shared" si="50"/>
        <v>0</v>
      </c>
      <c r="L137" s="452">
        <f t="shared" si="50"/>
        <v>0</v>
      </c>
      <c r="M137" s="452">
        <f t="shared" si="50"/>
        <v>0</v>
      </c>
      <c r="N137" s="452">
        <f t="shared" si="50"/>
        <v>0</v>
      </c>
      <c r="O137" s="452">
        <f t="shared" si="50"/>
        <v>0</v>
      </c>
    </row>
    <row r="138" spans="1:31">
      <c r="A138" s="6" t="s">
        <v>665</v>
      </c>
      <c r="B138" s="5">
        <v>0</v>
      </c>
      <c r="C138" s="5">
        <v>0</v>
      </c>
      <c r="E138" s="5">
        <v>0</v>
      </c>
      <c r="F138" s="5">
        <v>0</v>
      </c>
      <c r="G138" s="5">
        <v>0</v>
      </c>
      <c r="H138" s="5">
        <v>0</v>
      </c>
      <c r="I138" s="5">
        <v>0</v>
      </c>
      <c r="J138" s="5">
        <v>0</v>
      </c>
      <c r="K138" s="5">
        <v>0</v>
      </c>
      <c r="L138" s="5">
        <v>0</v>
      </c>
      <c r="M138" s="5">
        <v>0</v>
      </c>
      <c r="N138" s="5">
        <v>0</v>
      </c>
      <c r="O138" s="5">
        <v>0</v>
      </c>
    </row>
    <row r="150" spans="22:29">
      <c r="V150" s="160"/>
    </row>
    <row r="152" spans="22:29">
      <c r="W152" s="160"/>
      <c r="X152" s="160"/>
      <c r="Y152" s="160"/>
      <c r="Z152" s="160"/>
      <c r="AA152" s="160"/>
      <c r="AB152" s="160"/>
      <c r="AC152" s="160"/>
    </row>
  </sheetData>
  <mergeCells count="4">
    <mergeCell ref="G6:J6"/>
    <mergeCell ref="X6:AA6"/>
    <mergeCell ref="P7:P8"/>
    <mergeCell ref="X9:AA12"/>
  </mergeCells>
  <phoneticPr fontId="104" type="noConversion"/>
  <pageMargins left="0.75" right="0.75" top="1" bottom="1" header="0.5" footer="0.5"/>
  <pageSetup paperSize="9" orientation="portrait" verticalDpi="90" r:id="rId1"/>
  <headerFooter alignWithMargins="0"/>
  <drawing r:id="rId2"/>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81"/>
  <sheetViews>
    <sheetView workbookViewId="0">
      <pane xSplit="1" ySplit="9" topLeftCell="T30" activePane="bottomRight" state="frozen"/>
      <selection pane="topRight" activeCell="B1" sqref="B1"/>
      <selection pane="bottomLeft" activeCell="A10" sqref="A10"/>
      <selection pane="bottomRight" activeCell="AB39" sqref="AB39:AB40"/>
    </sheetView>
  </sheetViews>
  <sheetFormatPr defaultRowHeight="13.8"/>
  <cols>
    <col min="1" max="1" width="31" style="5" bestFit="1" customWidth="1"/>
    <col min="2" max="5" width="10.77734375" style="5" customWidth="1"/>
    <col min="6" max="8" width="10.77734375" customWidth="1"/>
    <col min="9" max="9" width="11.6640625" bestFit="1" customWidth="1"/>
    <col min="10" max="15" width="10.77734375" customWidth="1"/>
    <col min="16" max="16" width="12.6640625" bestFit="1" customWidth="1"/>
    <col min="17" max="18" width="12.77734375" customWidth="1"/>
    <col min="19" max="21" width="10.77734375" customWidth="1"/>
    <col min="22" max="26" width="9.33203125" style="5" customWidth="1"/>
    <col min="27" max="27" width="10.77734375" style="5" bestFit="1" customWidth="1"/>
    <col min="28" max="29" width="9.33203125" style="5" customWidth="1"/>
  </cols>
  <sheetData>
    <row r="1" spans="1:29" s="3" customFormat="1" ht="20.399999999999999">
      <c r="A1" s="110" t="s">
        <v>6</v>
      </c>
      <c r="B1" s="110"/>
      <c r="C1" s="110"/>
      <c r="D1" s="110"/>
      <c r="E1" s="110"/>
      <c r="F1" s="449"/>
      <c r="L1" s="8"/>
      <c r="X1" s="1"/>
      <c r="Y1" s="1"/>
      <c r="Z1" s="1"/>
      <c r="AA1" s="1"/>
      <c r="AB1" s="1"/>
      <c r="AC1" s="1"/>
    </row>
    <row r="2" spans="1:29" s="3" customFormat="1" ht="12.75" customHeight="1">
      <c r="B2" s="116"/>
      <c r="C2" s="116"/>
      <c r="D2" s="116"/>
      <c r="E2" s="115"/>
      <c r="V2" s="22"/>
      <c r="W2" s="22"/>
      <c r="X2" s="22"/>
      <c r="Y2" s="22"/>
      <c r="Z2" s="22"/>
      <c r="AA2" s="2"/>
      <c r="AC2" s="2"/>
    </row>
    <row r="3" spans="1:29" s="3" customFormat="1" ht="30">
      <c r="A3" s="112" t="s">
        <v>785</v>
      </c>
      <c r="B3" s="116"/>
      <c r="C3" s="116"/>
      <c r="D3" s="116"/>
      <c r="E3" s="112"/>
      <c r="V3" s="22"/>
      <c r="W3" s="22"/>
      <c r="X3" s="22"/>
      <c r="Y3" s="22"/>
      <c r="Z3" s="22"/>
      <c r="AA3" s="2"/>
      <c r="AC3" s="2"/>
    </row>
    <row r="4" spans="1:29" s="116" customFormat="1">
      <c r="A4" s="116" t="s">
        <v>541</v>
      </c>
      <c r="B4" s="367">
        <v>23205</v>
      </c>
    </row>
    <row r="5" spans="1:29" s="116" customFormat="1">
      <c r="A5" s="116" t="s">
        <v>1273</v>
      </c>
      <c r="B5" s="367">
        <v>23500</v>
      </c>
    </row>
    <row r="6" spans="1:29" s="3" customFormat="1" ht="18" customHeight="1">
      <c r="A6" s="327">
        <v>43738</v>
      </c>
      <c r="B6" s="327">
        <v>43710</v>
      </c>
      <c r="C6" s="116"/>
      <c r="D6" s="116"/>
      <c r="G6" s="721" t="s">
        <v>52</v>
      </c>
      <c r="H6" s="721"/>
      <c r="I6" s="721"/>
      <c r="J6" s="721"/>
      <c r="V6" s="22"/>
      <c r="W6" s="22"/>
      <c r="X6" s="720" t="s">
        <v>65</v>
      </c>
      <c r="Y6" s="720"/>
      <c r="Z6" s="720"/>
      <c r="AA6" s="720"/>
      <c r="AB6" s="2"/>
      <c r="AC6" s="2"/>
    </row>
    <row r="7" spans="1:29" s="4" customFormat="1">
      <c r="A7" s="409"/>
      <c r="B7" s="323" t="s">
        <v>34</v>
      </c>
      <c r="C7" s="324" t="s">
        <v>35</v>
      </c>
      <c r="D7" s="324" t="s">
        <v>36</v>
      </c>
      <c r="E7" s="324" t="s">
        <v>37</v>
      </c>
      <c r="F7" s="324" t="s">
        <v>38</v>
      </c>
      <c r="G7" s="324" t="s">
        <v>39</v>
      </c>
      <c r="H7" s="324" t="s">
        <v>40</v>
      </c>
      <c r="I7" s="324" t="s">
        <v>41</v>
      </c>
      <c r="J7" s="324" t="s">
        <v>42</v>
      </c>
      <c r="K7" s="324" t="s">
        <v>43</v>
      </c>
      <c r="L7" s="324" t="s">
        <v>44</v>
      </c>
      <c r="M7" s="324" t="s">
        <v>45</v>
      </c>
      <c r="N7" s="324" t="s">
        <v>46</v>
      </c>
      <c r="O7" s="324" t="s">
        <v>47</v>
      </c>
      <c r="P7" s="731" t="s">
        <v>500</v>
      </c>
      <c r="Q7" s="349" t="s">
        <v>516</v>
      </c>
      <c r="R7" s="349" t="s">
        <v>517</v>
      </c>
      <c r="S7" s="349" t="s">
        <v>519</v>
      </c>
      <c r="T7" s="349" t="s">
        <v>521</v>
      </c>
      <c r="U7" s="349" t="s">
        <v>523</v>
      </c>
      <c r="V7" s="350"/>
      <c r="W7" s="351"/>
      <c r="X7" s="351"/>
      <c r="Y7" s="351"/>
      <c r="Z7" s="351"/>
      <c r="AA7" s="351"/>
      <c r="AB7" s="351"/>
      <c r="AC7" s="352"/>
    </row>
    <row r="8" spans="1:29" ht="15.6">
      <c r="A8" s="410"/>
      <c r="B8" s="117">
        <f>'New Hire'!C6</f>
        <v>91999901</v>
      </c>
      <c r="C8" s="339">
        <f>'New Hire'!D6</f>
        <v>91999902</v>
      </c>
      <c r="D8" s="339">
        <f>'New Hire'!E6</f>
        <v>91999903</v>
      </c>
      <c r="E8" s="339">
        <f>'New Hire'!F6</f>
        <v>91999904</v>
      </c>
      <c r="F8" s="339">
        <f>'New Hire'!G6</f>
        <v>91999905</v>
      </c>
      <c r="G8" s="339">
        <f>'New Hire'!H6</f>
        <v>91999906</v>
      </c>
      <c r="H8" s="339">
        <f>'New Hire'!I6</f>
        <v>91999907</v>
      </c>
      <c r="I8" s="339">
        <f>'New Hire'!J6</f>
        <v>91999908</v>
      </c>
      <c r="J8" s="339">
        <f>'New Hire'!K6</f>
        <v>91999909</v>
      </c>
      <c r="K8" s="339">
        <f>'New Hire'!L6</f>
        <v>91999910</v>
      </c>
      <c r="L8" s="339">
        <f>'New Hire'!M6</f>
        <v>91999911</v>
      </c>
      <c r="M8" s="339">
        <f>'New Hire'!N6</f>
        <v>91999912</v>
      </c>
      <c r="N8" s="339">
        <f>'New Hire'!O6</f>
        <v>91999913</v>
      </c>
      <c r="O8" s="339">
        <f>'New Hire'!P6</f>
        <v>91999914</v>
      </c>
      <c r="P8" s="732"/>
      <c r="Q8" s="349" t="s">
        <v>515</v>
      </c>
      <c r="R8" s="349" t="s">
        <v>518</v>
      </c>
      <c r="S8" s="349" t="s">
        <v>520</v>
      </c>
      <c r="T8" s="349" t="s">
        <v>522</v>
      </c>
      <c r="U8" s="349" t="s">
        <v>524</v>
      </c>
      <c r="V8" s="47"/>
      <c r="W8" s="48"/>
      <c r="X8" s="20"/>
      <c r="Y8" s="20"/>
      <c r="Z8" s="20"/>
      <c r="AA8" s="20"/>
      <c r="AB8" s="20"/>
      <c r="AC8" s="15"/>
    </row>
    <row r="9" spans="1:29" ht="12.75" customHeight="1">
      <c r="A9" s="411" t="s">
        <v>63</v>
      </c>
      <c r="B9" s="23"/>
      <c r="C9" s="19"/>
      <c r="D9" s="19"/>
      <c r="E9" s="20"/>
      <c r="F9" s="19"/>
      <c r="G9" s="19"/>
      <c r="H9" s="21"/>
      <c r="I9" s="19"/>
      <c r="J9" s="19"/>
      <c r="K9" s="20"/>
      <c r="L9" s="20"/>
      <c r="M9" s="20"/>
      <c r="N9" s="20"/>
      <c r="O9" s="15"/>
      <c r="P9" s="15"/>
      <c r="Q9" s="20"/>
      <c r="R9" s="20"/>
      <c r="S9" s="20"/>
      <c r="T9" s="20"/>
      <c r="U9" s="20"/>
      <c r="V9" s="25"/>
      <c r="W9" s="26"/>
      <c r="X9" s="722" t="s">
        <v>608</v>
      </c>
      <c r="Y9" s="723"/>
      <c r="Z9" s="723"/>
      <c r="AA9" s="724"/>
      <c r="AB9" s="27"/>
      <c r="AC9" s="18"/>
    </row>
    <row r="10" spans="1:29">
      <c r="A10" s="424" t="s">
        <v>480</v>
      </c>
      <c r="B10" s="385">
        <v>43709</v>
      </c>
      <c r="C10" s="385">
        <v>43709</v>
      </c>
      <c r="D10" s="385"/>
      <c r="E10" s="385">
        <v>43709</v>
      </c>
      <c r="F10" s="385">
        <v>43709</v>
      </c>
      <c r="G10" s="385">
        <v>43709</v>
      </c>
      <c r="H10" s="385">
        <v>43709</v>
      </c>
      <c r="I10" s="385">
        <v>43709</v>
      </c>
      <c r="J10" s="385">
        <v>43709</v>
      </c>
      <c r="K10" s="385">
        <v>43709</v>
      </c>
      <c r="L10" s="385">
        <v>43709</v>
      </c>
      <c r="M10" s="385">
        <v>43709</v>
      </c>
      <c r="N10" s="385">
        <v>43709</v>
      </c>
      <c r="O10" s="386">
        <v>43709</v>
      </c>
      <c r="P10" s="15"/>
      <c r="Q10" s="20"/>
      <c r="R10" s="20"/>
      <c r="S10" s="20"/>
      <c r="T10" s="20"/>
      <c r="U10" s="20"/>
      <c r="V10" s="28"/>
      <c r="W10" s="29"/>
      <c r="X10" s="725"/>
      <c r="Y10" s="726"/>
      <c r="Z10" s="726"/>
      <c r="AA10" s="727"/>
      <c r="AB10" s="30"/>
      <c r="AC10" s="15"/>
    </row>
    <row r="11" spans="1:29" ht="12.75" customHeight="1">
      <c r="A11" s="99" t="s">
        <v>491</v>
      </c>
      <c r="B11" s="387" t="str">
        <f>'New Hire'!C10</f>
        <v>1</v>
      </c>
      <c r="C11" s="388" t="str">
        <f>'New Hire'!D10</f>
        <v>P</v>
      </c>
      <c r="D11" s="388" t="str">
        <f>'New Hire'!E10</f>
        <v>3</v>
      </c>
      <c r="E11" s="388" t="s">
        <v>964</v>
      </c>
      <c r="F11" s="388">
        <f>'New Hire'!G10</f>
        <v>4</v>
      </c>
      <c r="G11" s="388" t="str">
        <f>'New Hire'!H10</f>
        <v>C</v>
      </c>
      <c r="H11" s="388" t="str">
        <f>'New Hire'!I10</f>
        <v>I</v>
      </c>
      <c r="I11" s="388" t="str">
        <f>'New Hire'!J10</f>
        <v>S</v>
      </c>
      <c r="J11" s="388" t="str">
        <f>'New Hire'!K10</f>
        <v>P</v>
      </c>
      <c r="K11" s="388" t="str">
        <f>'New Hire'!L10</f>
        <v>1</v>
      </c>
      <c r="L11" s="388" t="str">
        <f>'New Hire'!M10</f>
        <v>1</v>
      </c>
      <c r="M11" s="388">
        <f>'New Hire'!N10</f>
        <v>3</v>
      </c>
      <c r="N11" s="388">
        <f>'New Hire'!O10</f>
        <v>3</v>
      </c>
      <c r="O11" s="389" t="str">
        <f>'New Hire'!P10</f>
        <v>C</v>
      </c>
      <c r="P11" s="15"/>
      <c r="Q11" s="20"/>
      <c r="R11" s="20"/>
      <c r="S11" s="20"/>
      <c r="T11" s="20"/>
      <c r="U11" s="20"/>
      <c r="V11" s="32"/>
      <c r="W11" s="20"/>
      <c r="X11" s="725"/>
      <c r="Y11" s="726"/>
      <c r="Z11" s="726"/>
      <c r="AA11" s="727"/>
      <c r="AB11" s="20"/>
      <c r="AC11" s="15"/>
    </row>
    <row r="12" spans="1:29" ht="12.75" customHeight="1">
      <c r="A12" s="99" t="s">
        <v>492</v>
      </c>
      <c r="B12" s="390" t="str">
        <f>'New Hire'!C11</f>
        <v>;P</v>
      </c>
      <c r="C12" s="391" t="str">
        <f>'New Hire'!D11</f>
        <v>;A</v>
      </c>
      <c r="D12" s="391" t="str">
        <f>'New Hire'!E11</f>
        <v>;E</v>
      </c>
      <c r="E12" s="391" t="str">
        <f>'New Hire'!F11</f>
        <v>;I</v>
      </c>
      <c r="F12" s="391" t="str">
        <f>'New Hire'!G11</f>
        <v>;P</v>
      </c>
      <c r="G12" s="391" t="str">
        <f>'New Hire'!H11</f>
        <v>;A</v>
      </c>
      <c r="H12" s="391" t="str">
        <f>'New Hire'!I11</f>
        <v>;A</v>
      </c>
      <c r="I12" s="391" t="str">
        <f>'New Hire'!J11</f>
        <v>;V</v>
      </c>
      <c r="J12" s="391" t="str">
        <f>'New Hire'!K11</f>
        <v>;P</v>
      </c>
      <c r="K12" s="391" t="str">
        <f>'New Hire'!L11</f>
        <v>;A</v>
      </c>
      <c r="L12" s="391" t="str">
        <f>'New Hire'!M11</f>
        <v>;I</v>
      </c>
      <c r="M12" s="391" t="str">
        <f>'New Hire'!N11</f>
        <v>;P</v>
      </c>
      <c r="N12" s="391" t="str">
        <f>'New Hire'!O11</f>
        <v>;I</v>
      </c>
      <c r="O12" s="392" t="str">
        <f>'New Hire'!P11</f>
        <v>;I</v>
      </c>
      <c r="P12" s="15"/>
      <c r="Q12" s="20"/>
      <c r="R12" s="20"/>
      <c r="S12" s="20"/>
      <c r="T12" s="20"/>
      <c r="U12" s="20"/>
      <c r="V12" s="32"/>
      <c r="W12" s="20"/>
      <c r="X12" s="728"/>
      <c r="Y12" s="729"/>
      <c r="Z12" s="729"/>
      <c r="AA12" s="730"/>
      <c r="AB12" s="20"/>
      <c r="AC12" s="15"/>
    </row>
    <row r="13" spans="1:29">
      <c r="A13" s="100" t="s">
        <v>477</v>
      </c>
      <c r="B13" s="394">
        <f>'New Hire'!C26</f>
        <v>100</v>
      </c>
      <c r="C13" s="338">
        <f>'New Hire'!D26</f>
        <v>50</v>
      </c>
      <c r="D13" s="338">
        <f>'New Hire'!E26</f>
        <v>100</v>
      </c>
      <c r="E13" s="338">
        <f>'New Hire'!F26</f>
        <v>100</v>
      </c>
      <c r="F13" s="338">
        <f>'New Hire'!G26</f>
        <v>100</v>
      </c>
      <c r="G13" s="338">
        <f>'New Hire'!H26</f>
        <v>100</v>
      </c>
      <c r="H13" s="338">
        <f>'New Hire'!I26</f>
        <v>50</v>
      </c>
      <c r="I13" s="338">
        <f>'New Hire'!J26</f>
        <v>100</v>
      </c>
      <c r="J13" s="338">
        <f>'New Hire'!K26</f>
        <v>50</v>
      </c>
      <c r="K13" s="338">
        <f>'New Hire'!L26</f>
        <v>100</v>
      </c>
      <c r="L13" s="338">
        <f>'New Hire'!M26</f>
        <v>100</v>
      </c>
      <c r="M13" s="338">
        <f>'New Hire'!N26</f>
        <v>100</v>
      </c>
      <c r="N13" s="338">
        <f>'New Hire'!O26</f>
        <v>100</v>
      </c>
      <c r="O13" s="395">
        <f>'New Hire'!P26</f>
        <v>100</v>
      </c>
      <c r="P13" s="15"/>
      <c r="Q13" s="20"/>
      <c r="R13" s="20"/>
      <c r="S13" s="20"/>
      <c r="T13" s="20"/>
      <c r="U13" s="20"/>
      <c r="V13" s="23"/>
      <c r="W13" s="19"/>
      <c r="X13" s="19"/>
      <c r="Y13" s="19"/>
      <c r="Z13" s="19"/>
      <c r="AA13" s="19"/>
      <c r="AB13" s="19"/>
      <c r="AC13" s="31"/>
    </row>
    <row r="14" spans="1:29">
      <c r="A14" s="424" t="s">
        <v>481</v>
      </c>
      <c r="B14" s="338">
        <f t="shared" ref="B14:O14" si="0">NETWORKDAYS(B10,$A$6)</f>
        <v>21</v>
      </c>
      <c r="C14" s="338">
        <f t="shared" si="0"/>
        <v>21</v>
      </c>
      <c r="D14" s="338"/>
      <c r="E14" s="338">
        <f t="shared" si="0"/>
        <v>21</v>
      </c>
      <c r="F14" s="338">
        <f t="shared" si="0"/>
        <v>21</v>
      </c>
      <c r="G14" s="338">
        <f t="shared" si="0"/>
        <v>21</v>
      </c>
      <c r="H14" s="338">
        <f t="shared" si="0"/>
        <v>21</v>
      </c>
      <c r="I14" s="338">
        <f t="shared" si="0"/>
        <v>21</v>
      </c>
      <c r="J14" s="338">
        <f t="shared" si="0"/>
        <v>21</v>
      </c>
      <c r="K14" s="338">
        <f t="shared" si="0"/>
        <v>21</v>
      </c>
      <c r="L14" s="338">
        <f t="shared" si="0"/>
        <v>21</v>
      </c>
      <c r="M14" s="338">
        <f t="shared" si="0"/>
        <v>21</v>
      </c>
      <c r="N14" s="338">
        <f t="shared" si="0"/>
        <v>21</v>
      </c>
      <c r="O14" s="395">
        <f t="shared" si="0"/>
        <v>21</v>
      </c>
      <c r="P14" s="15"/>
      <c r="Q14" s="20"/>
      <c r="R14" s="20"/>
      <c r="S14" s="20"/>
      <c r="T14" s="20"/>
      <c r="U14" s="20"/>
      <c r="V14" s="23"/>
      <c r="W14" s="19"/>
      <c r="X14" s="19"/>
      <c r="Y14" s="19"/>
      <c r="Z14" s="19"/>
      <c r="AA14" s="19"/>
      <c r="AB14" s="19"/>
      <c r="AC14" s="31"/>
    </row>
    <row r="15" spans="1:29">
      <c r="A15" s="424" t="s">
        <v>843</v>
      </c>
      <c r="B15" s="338">
        <f>B14-SUM(B136:B146)</f>
        <v>5</v>
      </c>
      <c r="C15" s="338">
        <f>C14-SUM(C136:C146)</f>
        <v>18.5</v>
      </c>
      <c r="D15" s="338"/>
      <c r="E15" s="338">
        <f t="shared" ref="E15:O15" si="1">E14-SUM(E136:E146)</f>
        <v>6</v>
      </c>
      <c r="F15" s="338">
        <f t="shared" si="1"/>
        <v>21</v>
      </c>
      <c r="G15" s="338">
        <f t="shared" si="1"/>
        <v>21</v>
      </c>
      <c r="H15" s="338">
        <f t="shared" si="1"/>
        <v>9</v>
      </c>
      <c r="I15" s="338">
        <f t="shared" si="1"/>
        <v>21</v>
      </c>
      <c r="J15" s="338">
        <f t="shared" si="1"/>
        <v>21</v>
      </c>
      <c r="K15" s="338">
        <f t="shared" si="1"/>
        <v>13</v>
      </c>
      <c r="L15" s="338">
        <f t="shared" si="1"/>
        <v>10</v>
      </c>
      <c r="M15" s="338">
        <f t="shared" si="1"/>
        <v>9</v>
      </c>
      <c r="N15" s="338">
        <f t="shared" si="1"/>
        <v>0</v>
      </c>
      <c r="O15" s="395">
        <f t="shared" si="1"/>
        <v>21</v>
      </c>
      <c r="P15" s="15"/>
      <c r="Q15" s="20"/>
      <c r="R15" s="20"/>
      <c r="S15" s="20"/>
      <c r="T15" s="20"/>
      <c r="U15" s="20"/>
      <c r="V15" s="23"/>
      <c r="W15" s="19"/>
      <c r="X15" s="19"/>
      <c r="Y15" s="19"/>
      <c r="Z15" s="19"/>
      <c r="AA15" s="19"/>
      <c r="AB15" s="19"/>
      <c r="AC15" s="31"/>
    </row>
    <row r="16" spans="1:29">
      <c r="A16" s="424" t="s">
        <v>639</v>
      </c>
      <c r="B16" s="338">
        <f>NETWORKDAYS(EOMONTH($A$6,-1)+1,EOMONTH($A$6,0))</f>
        <v>21</v>
      </c>
      <c r="C16" s="338">
        <f t="shared" ref="C16:O16" si="2">NETWORKDAYS(EOMONTH($A$6,-1)+1,EOMONTH($A$6,0))</f>
        <v>21</v>
      </c>
      <c r="D16" s="338"/>
      <c r="E16" s="338">
        <f t="shared" si="2"/>
        <v>21</v>
      </c>
      <c r="F16" s="338">
        <f t="shared" si="2"/>
        <v>21</v>
      </c>
      <c r="G16" s="338">
        <f t="shared" si="2"/>
        <v>21</v>
      </c>
      <c r="H16" s="338">
        <f t="shared" si="2"/>
        <v>21</v>
      </c>
      <c r="I16" s="338">
        <f t="shared" si="2"/>
        <v>21</v>
      </c>
      <c r="J16" s="338">
        <f t="shared" si="2"/>
        <v>21</v>
      </c>
      <c r="K16" s="338">
        <f t="shared" si="2"/>
        <v>21</v>
      </c>
      <c r="L16" s="338">
        <f t="shared" si="2"/>
        <v>21</v>
      </c>
      <c r="M16" s="338">
        <f t="shared" si="2"/>
        <v>21</v>
      </c>
      <c r="N16" s="338">
        <f t="shared" si="2"/>
        <v>21</v>
      </c>
      <c r="O16" s="395">
        <f t="shared" si="2"/>
        <v>21</v>
      </c>
      <c r="P16" s="15"/>
      <c r="Q16" s="20"/>
      <c r="R16" s="20"/>
      <c r="S16" s="20"/>
      <c r="T16" s="20"/>
      <c r="U16" s="20"/>
      <c r="V16" s="23"/>
      <c r="W16" s="19"/>
      <c r="X16" s="19"/>
      <c r="Y16" s="19"/>
      <c r="Z16" s="19"/>
      <c r="AA16" s="19"/>
      <c r="AB16" s="19"/>
      <c r="AC16" s="31"/>
    </row>
    <row r="17" spans="1:29">
      <c r="A17" s="424" t="s">
        <v>513</v>
      </c>
      <c r="B17" s="335">
        <f>_xlfn.DAYS($A$6,B10)+1</f>
        <v>30</v>
      </c>
      <c r="C17" s="335">
        <f t="shared" ref="C17:O17" si="3">_xlfn.DAYS($A$6,C10)+1</f>
        <v>30</v>
      </c>
      <c r="D17" s="335"/>
      <c r="E17" s="335">
        <f t="shared" si="3"/>
        <v>30</v>
      </c>
      <c r="F17" s="335">
        <f t="shared" si="3"/>
        <v>30</v>
      </c>
      <c r="G17" s="335">
        <f t="shared" si="3"/>
        <v>30</v>
      </c>
      <c r="H17" s="335">
        <f t="shared" si="3"/>
        <v>30</v>
      </c>
      <c r="I17" s="335">
        <f t="shared" si="3"/>
        <v>30</v>
      </c>
      <c r="J17" s="335">
        <f t="shared" si="3"/>
        <v>30</v>
      </c>
      <c r="K17" s="335">
        <f t="shared" si="3"/>
        <v>30</v>
      </c>
      <c r="L17" s="335">
        <f t="shared" si="3"/>
        <v>30</v>
      </c>
      <c r="M17" s="335">
        <f t="shared" si="3"/>
        <v>30</v>
      </c>
      <c r="N17" s="335">
        <f t="shared" si="3"/>
        <v>30</v>
      </c>
      <c r="O17" s="397">
        <f t="shared" si="3"/>
        <v>30</v>
      </c>
      <c r="P17" s="15"/>
      <c r="Q17" s="20"/>
      <c r="R17" s="20"/>
      <c r="S17" s="20"/>
      <c r="T17" s="20"/>
      <c r="U17" s="20"/>
      <c r="V17" s="23"/>
      <c r="W17" s="19"/>
      <c r="X17" s="19"/>
      <c r="Y17" s="19"/>
      <c r="Z17" s="19"/>
      <c r="AA17" s="19"/>
      <c r="AB17" s="19"/>
      <c r="AC17" s="31"/>
    </row>
    <row r="18" spans="1:29">
      <c r="A18" s="99" t="s">
        <v>533</v>
      </c>
      <c r="B18" s="336">
        <f>DATEDIF('New Hire'!C41,$A$6,"Y")</f>
        <v>10</v>
      </c>
      <c r="C18" s="337">
        <f>DATEDIF('New Hire'!D41,$A$6,"Y")</f>
        <v>13</v>
      </c>
      <c r="D18" s="337">
        <f>DATEDIF('New Hire'!E41,$A$6,"Y")</f>
        <v>0</v>
      </c>
      <c r="E18" s="337">
        <f>DATEDIF('New Hire'!F41,$A$6,"Y")</f>
        <v>4</v>
      </c>
      <c r="F18" s="337">
        <f>DATEDIF('New Hire'!G41,$A$6,"Y")</f>
        <v>10</v>
      </c>
      <c r="G18" s="337">
        <f>DATEDIF('New Hire'!H41,$A$6,"Y")</f>
        <v>0</v>
      </c>
      <c r="H18" s="337">
        <f>DATEDIF('New Hire'!I41,$A$6,"Y")</f>
        <v>15</v>
      </c>
      <c r="I18" s="337">
        <f>DATEDIF('New Hire'!J41,$A$6,"Y")</f>
        <v>0</v>
      </c>
      <c r="J18" s="337">
        <f>DATEDIF('New Hire'!K41,$A$6,"Y")</f>
        <v>0</v>
      </c>
      <c r="K18" s="337">
        <f>DATEDIF('New Hire'!L41,$A$6,"Y")</f>
        <v>10</v>
      </c>
      <c r="L18" s="337">
        <f>DATEDIF('New Hire'!M41,$A$6,"Y")</f>
        <v>5</v>
      </c>
      <c r="M18" s="337">
        <f>DATEDIF('New Hire'!N41,$A$6,"Y")</f>
        <v>0</v>
      </c>
      <c r="N18" s="337">
        <f>DATEDIF('New Hire'!O41,$A$6,"Y")</f>
        <v>11</v>
      </c>
      <c r="O18" s="393">
        <f>DATEDIF('New Hire'!P41,$A$6,"Y")</f>
        <v>0</v>
      </c>
      <c r="P18" s="15"/>
      <c r="Q18" s="20"/>
      <c r="R18" s="20"/>
      <c r="S18" s="20"/>
      <c r="T18" s="20"/>
      <c r="U18" s="20"/>
      <c r="V18" s="23"/>
      <c r="W18" s="19"/>
      <c r="X18" s="19"/>
      <c r="Y18" s="19"/>
      <c r="Z18" s="19"/>
      <c r="AA18" s="19"/>
      <c r="AB18" s="19"/>
      <c r="AC18" s="31"/>
    </row>
    <row r="19" spans="1:29">
      <c r="A19" s="99" t="s">
        <v>566</v>
      </c>
      <c r="B19" s="336" t="str">
        <f>'New Hire'!C54</f>
        <v>A</v>
      </c>
      <c r="C19" s="337" t="str">
        <f>'New Hire'!D54</f>
        <v>A</v>
      </c>
      <c r="D19" s="337" t="str">
        <f>'New Hire'!E54</f>
        <v>A</v>
      </c>
      <c r="E19" s="337" t="str">
        <f>'New Hire'!F54</f>
        <v>B</v>
      </c>
      <c r="F19" s="337" t="str">
        <f>'New Hire'!G54</f>
        <v>B</v>
      </c>
      <c r="G19" s="337" t="str">
        <f>'New Hire'!H54</f>
        <v>C</v>
      </c>
      <c r="H19" s="337" t="str">
        <f>'New Hire'!I54</f>
        <v>D</v>
      </c>
      <c r="I19" s="337" t="str">
        <f>'New Hire'!J54</f>
        <v>D</v>
      </c>
      <c r="J19" s="337" t="str">
        <f>'New Hire'!K54</f>
        <v>A</v>
      </c>
      <c r="K19" s="337" t="str">
        <f>'New Hire'!L54</f>
        <v>A</v>
      </c>
      <c r="L19" s="337" t="str">
        <f>'New Hire'!M54</f>
        <v>A</v>
      </c>
      <c r="M19" s="337" t="str">
        <f>'New Hire'!N54</f>
        <v>A</v>
      </c>
      <c r="N19" s="337" t="str">
        <f>'New Hire'!O54</f>
        <v>A</v>
      </c>
      <c r="O19" s="393" t="str">
        <f>'New Hire'!P54</f>
        <v>B</v>
      </c>
      <c r="P19" s="15"/>
      <c r="Q19" s="20"/>
      <c r="R19" s="20"/>
      <c r="S19" s="20"/>
      <c r="T19" s="20"/>
      <c r="U19" s="20"/>
      <c r="V19" s="23"/>
      <c r="W19" s="19"/>
      <c r="X19" s="19"/>
      <c r="Y19" s="19"/>
      <c r="Z19" s="19"/>
      <c r="AA19" s="19"/>
      <c r="AB19" s="19"/>
      <c r="AC19" s="31"/>
    </row>
    <row r="20" spans="1:29">
      <c r="A20" s="98" t="s">
        <v>107</v>
      </c>
      <c r="B20" s="91">
        <v>1</v>
      </c>
      <c r="C20" s="89">
        <v>2</v>
      </c>
      <c r="D20" s="89"/>
      <c r="E20" s="89">
        <v>3</v>
      </c>
      <c r="F20" s="89">
        <v>0</v>
      </c>
      <c r="G20" s="89">
        <v>0</v>
      </c>
      <c r="H20" s="89">
        <v>2</v>
      </c>
      <c r="I20" s="89">
        <v>0</v>
      </c>
      <c r="J20" s="89">
        <v>0</v>
      </c>
      <c r="K20" s="89">
        <v>0</v>
      </c>
      <c r="L20" s="89">
        <v>0</v>
      </c>
      <c r="M20" s="89">
        <v>0</v>
      </c>
      <c r="N20" s="89">
        <v>0</v>
      </c>
      <c r="O20" s="398">
        <v>0</v>
      </c>
      <c r="P20" s="15"/>
      <c r="Q20" s="20"/>
      <c r="R20" s="20"/>
      <c r="S20" s="20"/>
      <c r="T20" s="20"/>
      <c r="U20" s="20"/>
      <c r="V20" s="23"/>
      <c r="W20" s="19"/>
      <c r="X20" s="19"/>
      <c r="Y20" s="19"/>
      <c r="Z20" s="19"/>
      <c r="AA20" s="19"/>
      <c r="AB20" s="19"/>
      <c r="AC20" s="31"/>
    </row>
    <row r="21" spans="1:29">
      <c r="A21" s="97" t="s">
        <v>113</v>
      </c>
      <c r="B21" s="325">
        <f>3600000*B20</f>
        <v>3600000</v>
      </c>
      <c r="C21" s="90">
        <f t="shared" ref="C21:O21" si="4">3600000*C20</f>
        <v>7200000</v>
      </c>
      <c r="D21" s="90"/>
      <c r="E21" s="90">
        <f t="shared" si="4"/>
        <v>10800000</v>
      </c>
      <c r="F21" s="90">
        <f t="shared" si="4"/>
        <v>0</v>
      </c>
      <c r="G21" s="90">
        <f t="shared" si="4"/>
        <v>0</v>
      </c>
      <c r="H21" s="90">
        <f t="shared" si="4"/>
        <v>7200000</v>
      </c>
      <c r="I21" s="90">
        <f t="shared" si="4"/>
        <v>0</v>
      </c>
      <c r="J21" s="90">
        <f t="shared" si="4"/>
        <v>0</v>
      </c>
      <c r="K21" s="90">
        <f t="shared" si="4"/>
        <v>0</v>
      </c>
      <c r="L21" s="90">
        <f t="shared" si="4"/>
        <v>0</v>
      </c>
      <c r="M21" s="90">
        <f t="shared" si="4"/>
        <v>0</v>
      </c>
      <c r="N21" s="90">
        <f t="shared" si="4"/>
        <v>0</v>
      </c>
      <c r="O21" s="399">
        <f t="shared" si="4"/>
        <v>0</v>
      </c>
      <c r="P21" s="15"/>
      <c r="Q21" s="20"/>
      <c r="R21" s="20"/>
      <c r="S21" s="20"/>
      <c r="T21" s="20"/>
      <c r="U21" s="20"/>
      <c r="V21" s="23"/>
      <c r="W21" s="19"/>
      <c r="X21" s="19"/>
      <c r="Y21" s="19"/>
      <c r="Z21" s="19"/>
      <c r="AA21" s="19"/>
      <c r="AB21" s="19"/>
      <c r="AC21" s="31"/>
    </row>
    <row r="22" spans="1:29" ht="15.6">
      <c r="A22" s="97" t="s">
        <v>114</v>
      </c>
      <c r="B22" s="326">
        <v>9000000</v>
      </c>
      <c r="C22" s="90">
        <v>9000000</v>
      </c>
      <c r="D22" s="90"/>
      <c r="E22" s="90">
        <v>9000000</v>
      </c>
      <c r="F22" s="90">
        <v>9000000</v>
      </c>
      <c r="G22" s="90">
        <v>9000000</v>
      </c>
      <c r="H22" s="90">
        <v>9000000</v>
      </c>
      <c r="I22" s="90">
        <v>9000000</v>
      </c>
      <c r="J22" s="90">
        <v>9000000</v>
      </c>
      <c r="K22" s="90">
        <v>9000000</v>
      </c>
      <c r="L22" s="90">
        <v>9000000</v>
      </c>
      <c r="M22" s="90">
        <v>9000000</v>
      </c>
      <c r="N22" s="90">
        <v>9000000</v>
      </c>
      <c r="O22" s="399">
        <v>9000000</v>
      </c>
      <c r="P22" s="15"/>
      <c r="Q22" s="66"/>
      <c r="R22" s="66"/>
      <c r="S22" s="66"/>
      <c r="T22" s="66"/>
      <c r="U22" s="66"/>
      <c r="V22" s="40"/>
      <c r="W22" s="41"/>
      <c r="X22" s="19"/>
      <c r="Y22" s="19"/>
      <c r="Z22" s="19"/>
      <c r="AA22" s="19"/>
      <c r="AB22" s="16"/>
      <c r="AC22" s="17"/>
    </row>
    <row r="23" spans="1:29" ht="15.6">
      <c r="A23" s="413" t="s">
        <v>53</v>
      </c>
      <c r="B23" s="64"/>
      <c r="C23" s="65"/>
      <c r="D23" s="65"/>
      <c r="E23" s="66"/>
      <c r="F23" s="65"/>
      <c r="G23" s="65"/>
      <c r="H23" s="21"/>
      <c r="I23" s="65"/>
      <c r="J23" s="65"/>
      <c r="K23" s="66"/>
      <c r="L23" s="66"/>
      <c r="M23" s="66"/>
      <c r="N23" s="66"/>
      <c r="O23" s="382"/>
      <c r="P23" s="382"/>
      <c r="Q23" s="66"/>
      <c r="R23" s="66"/>
      <c r="S23" s="66"/>
      <c r="T23" s="66"/>
      <c r="U23" s="66"/>
      <c r="V23" s="50"/>
      <c r="W23" s="44"/>
      <c r="X23" s="44"/>
      <c r="Y23" s="44"/>
      <c r="Z23" s="44"/>
      <c r="AA23" s="44"/>
      <c r="AB23" s="44"/>
      <c r="AC23" s="51"/>
    </row>
    <row r="24" spans="1:29">
      <c r="A24" s="414" t="s">
        <v>55</v>
      </c>
      <c r="B24" s="64"/>
      <c r="C24" s="65"/>
      <c r="D24" s="65"/>
      <c r="E24" s="66"/>
      <c r="F24" s="65"/>
      <c r="G24" s="65"/>
      <c r="H24" s="21"/>
      <c r="I24" s="65"/>
      <c r="J24" s="65"/>
      <c r="K24" s="66"/>
      <c r="L24" s="66"/>
      <c r="M24" s="66"/>
      <c r="N24" s="66"/>
      <c r="O24" s="382"/>
      <c r="P24" s="382"/>
      <c r="Q24" s="66"/>
      <c r="R24" s="66"/>
      <c r="S24" s="66"/>
      <c r="T24" s="66"/>
      <c r="U24" s="66"/>
      <c r="V24" s="118" t="s">
        <v>57</v>
      </c>
      <c r="W24" s="119" t="s">
        <v>67</v>
      </c>
      <c r="X24" s="119" t="s">
        <v>69</v>
      </c>
      <c r="Y24" s="119" t="s">
        <v>70</v>
      </c>
      <c r="Z24" s="119" t="s">
        <v>56</v>
      </c>
      <c r="AA24" s="119" t="s">
        <v>54</v>
      </c>
      <c r="AB24" s="119" t="s">
        <v>58</v>
      </c>
      <c r="AC24" s="120" t="s">
        <v>59</v>
      </c>
    </row>
    <row r="25" spans="1:29">
      <c r="A25" s="445" t="s">
        <v>479</v>
      </c>
      <c r="B25" s="332">
        <f>IF(OR(B19="A",B19="B"),IF(B11&lt;&gt;"C",ROUND(B165*B114,0),0),IF(B11&lt;&gt;"C",ROUND(B178*$B$4,0),0))</f>
        <v>7000000</v>
      </c>
      <c r="C25" s="332">
        <f>IF(OR(C19="A",C19="B"),IF(C11&lt;&gt;"C",ROUND(C165*C114,0),0),IF(C11&lt;&gt;"C",ROUND(C178*$B$4,0),0))</f>
        <v>6200000</v>
      </c>
      <c r="D25" s="332"/>
      <c r="E25" s="332">
        <f t="shared" ref="E25:O25" si="5">IF(OR(E19="A",E19="B"),IF(E11&lt;&gt;"C",ROUND(E165*E114,0),0),IF(E11&lt;&gt;"C",ROUND(E178*$B$4,0),0))</f>
        <v>11000000</v>
      </c>
      <c r="F25" s="332">
        <f t="shared" si="5"/>
        <v>16000000</v>
      </c>
      <c r="G25" s="332">
        <f t="shared" si="5"/>
        <v>0</v>
      </c>
      <c r="H25" s="332">
        <f t="shared" si="5"/>
        <v>120666000</v>
      </c>
      <c r="I25" s="332">
        <f t="shared" si="5"/>
        <v>90499500</v>
      </c>
      <c r="J25" s="332">
        <f t="shared" si="5"/>
        <v>55000000</v>
      </c>
      <c r="K25" s="332">
        <f t="shared" si="5"/>
        <v>10000000</v>
      </c>
      <c r="L25" s="332">
        <f t="shared" si="5"/>
        <v>11500000</v>
      </c>
      <c r="M25" s="332">
        <f t="shared" si="5"/>
        <v>7000000</v>
      </c>
      <c r="N25" s="332">
        <f t="shared" si="5"/>
        <v>8000000</v>
      </c>
      <c r="O25" s="400">
        <f t="shared" si="5"/>
        <v>0</v>
      </c>
      <c r="P25" s="355">
        <f t="shared" ref="P25:P28" si="6">SUM(B25:O25)</f>
        <v>342865500</v>
      </c>
      <c r="Q25" s="90" t="s">
        <v>525</v>
      </c>
      <c r="R25" s="90" t="s">
        <v>525</v>
      </c>
      <c r="S25" s="90" t="s">
        <v>525</v>
      </c>
      <c r="T25" s="90" t="s">
        <v>525</v>
      </c>
      <c r="U25" s="90" t="s">
        <v>525</v>
      </c>
      <c r="V25" s="356" t="s">
        <v>2</v>
      </c>
      <c r="W25" s="357">
        <v>91999901</v>
      </c>
      <c r="X25" s="358" t="s">
        <v>507</v>
      </c>
      <c r="Y25" s="358" t="s">
        <v>508</v>
      </c>
      <c r="Z25" s="359" t="s">
        <v>509</v>
      </c>
      <c r="AA25" s="360">
        <v>8000000</v>
      </c>
      <c r="AB25" s="358"/>
      <c r="AC25" s="361"/>
    </row>
    <row r="26" spans="1:29">
      <c r="A26" s="451" t="s">
        <v>496</v>
      </c>
      <c r="B26" s="332">
        <f>IF(OR(B19="A",B19="B"),ROUND(B167*B114,0),ROUND(B167*B114*$B$4,0))</f>
        <v>700000</v>
      </c>
      <c r="C26" s="332">
        <f>IF(OR(C19="A",C19="B"),ROUND(C167*C114,0),ROUND(C167*C114*$B$4,0))</f>
        <v>620000</v>
      </c>
      <c r="D26" s="332"/>
      <c r="E26" s="332">
        <f t="shared" ref="E26:O26" si="7">IF(OR(E19="A",E19="B"),ROUND(E167*E114,0),ROUND(E167*E114*$B$4,0))</f>
        <v>0</v>
      </c>
      <c r="F26" s="332">
        <f t="shared" si="7"/>
        <v>0</v>
      </c>
      <c r="G26" s="332">
        <f t="shared" si="7"/>
        <v>0</v>
      </c>
      <c r="H26" s="332">
        <f t="shared" si="7"/>
        <v>12762750</v>
      </c>
      <c r="I26" s="332">
        <f t="shared" si="7"/>
        <v>0</v>
      </c>
      <c r="J26" s="332">
        <f t="shared" si="7"/>
        <v>5500000</v>
      </c>
      <c r="K26" s="332">
        <f t="shared" si="7"/>
        <v>1000000</v>
      </c>
      <c r="L26" s="332">
        <f t="shared" si="7"/>
        <v>0</v>
      </c>
      <c r="M26" s="332">
        <f t="shared" si="7"/>
        <v>1400000</v>
      </c>
      <c r="N26" s="332">
        <f t="shared" si="7"/>
        <v>1200000</v>
      </c>
      <c r="O26" s="400">
        <f t="shared" si="7"/>
        <v>0</v>
      </c>
      <c r="P26" s="355">
        <f t="shared" si="6"/>
        <v>23182750</v>
      </c>
      <c r="Q26" s="379" t="s">
        <v>525</v>
      </c>
      <c r="R26" s="379" t="s">
        <v>525</v>
      </c>
      <c r="S26" s="379" t="s">
        <v>525</v>
      </c>
      <c r="T26" s="379" t="s">
        <v>525</v>
      </c>
      <c r="U26" s="90" t="s">
        <v>525</v>
      </c>
      <c r="V26" s="356" t="s">
        <v>2</v>
      </c>
      <c r="W26" s="357">
        <v>91999902</v>
      </c>
      <c r="X26" s="358" t="s">
        <v>507</v>
      </c>
      <c r="Y26" s="358" t="s">
        <v>508</v>
      </c>
      <c r="Z26" s="359" t="s">
        <v>509</v>
      </c>
      <c r="AA26" s="360">
        <v>8000000</v>
      </c>
      <c r="AB26" s="358"/>
      <c r="AC26" s="361"/>
    </row>
    <row r="27" spans="1:29">
      <c r="A27" s="451" t="s">
        <v>569</v>
      </c>
      <c r="B27" s="332">
        <f>IF(OR(B19="A",B19="B"),ROUND(B168*B114,0),ROUND(B168*B114*$B$4,0))</f>
        <v>1400000</v>
      </c>
      <c r="C27" s="332">
        <f>IF(OR(C19="A",C19="B"),ROUND(C168*C114,0),ROUND(C168*C114*$B$4,0))</f>
        <v>1240000</v>
      </c>
      <c r="D27" s="332"/>
      <c r="E27" s="332">
        <f t="shared" ref="E27:O27" si="8">IF(OR(E19="A",E19="B"),ROUND(E168*E114,0),ROUND(E168*E114*$B$4,0))</f>
        <v>0</v>
      </c>
      <c r="F27" s="332">
        <f t="shared" si="8"/>
        <v>0</v>
      </c>
      <c r="G27" s="332">
        <f t="shared" si="8"/>
        <v>0</v>
      </c>
      <c r="H27" s="332">
        <f t="shared" si="8"/>
        <v>25525500</v>
      </c>
      <c r="I27" s="332">
        <f t="shared" si="8"/>
        <v>0</v>
      </c>
      <c r="J27" s="332">
        <f t="shared" si="8"/>
        <v>11000000</v>
      </c>
      <c r="K27" s="332">
        <f t="shared" si="8"/>
        <v>2000000</v>
      </c>
      <c r="L27" s="332">
        <f t="shared" si="8"/>
        <v>0</v>
      </c>
      <c r="M27" s="332">
        <f t="shared" si="8"/>
        <v>2100000</v>
      </c>
      <c r="N27" s="332">
        <f t="shared" si="8"/>
        <v>1650000</v>
      </c>
      <c r="O27" s="400">
        <f t="shared" si="8"/>
        <v>0</v>
      </c>
      <c r="P27" s="355">
        <f t="shared" si="6"/>
        <v>44915500</v>
      </c>
      <c r="Q27" s="379" t="s">
        <v>525</v>
      </c>
      <c r="R27" s="379" t="s">
        <v>525</v>
      </c>
      <c r="S27" s="379" t="s">
        <v>525</v>
      </c>
      <c r="T27" s="379" t="s">
        <v>525</v>
      </c>
      <c r="U27" s="90" t="s">
        <v>525</v>
      </c>
      <c r="V27" s="356" t="s">
        <v>2</v>
      </c>
      <c r="W27" s="357">
        <v>91999904</v>
      </c>
      <c r="X27" s="358" t="s">
        <v>511</v>
      </c>
      <c r="Y27" s="358" t="s">
        <v>508</v>
      </c>
      <c r="Z27" s="359" t="s">
        <v>509</v>
      </c>
      <c r="AA27" s="360">
        <v>8000000</v>
      </c>
      <c r="AB27" s="358"/>
      <c r="AC27" s="361"/>
    </row>
    <row r="28" spans="1:29">
      <c r="A28" s="445" t="s">
        <v>427</v>
      </c>
      <c r="B28" s="332"/>
      <c r="C28" s="332"/>
      <c r="D28" s="332"/>
      <c r="E28" s="340"/>
      <c r="F28" s="332"/>
      <c r="G28" s="332">
        <f>ROUND(G166*B4,0)*AC95+ROUND(G166*B4,0)*AC96</f>
        <v>29006250</v>
      </c>
      <c r="H28" s="332"/>
      <c r="I28" s="332"/>
      <c r="J28" s="332"/>
      <c r="K28" s="340"/>
      <c r="L28" s="340"/>
      <c r="M28" s="340"/>
      <c r="N28" s="340"/>
      <c r="O28" s="401">
        <f>ROUND(O166*AC97,0)+ROUND(O166*AC98,0)</f>
        <v>4500000</v>
      </c>
      <c r="P28" s="355">
        <f t="shared" si="6"/>
        <v>33506250</v>
      </c>
      <c r="Q28" s="379" t="s">
        <v>525</v>
      </c>
      <c r="R28" s="379" t="s">
        <v>525</v>
      </c>
      <c r="S28" s="379"/>
      <c r="T28" s="379"/>
      <c r="U28" s="379"/>
      <c r="V28" s="356" t="s">
        <v>2</v>
      </c>
      <c r="W28" s="357">
        <v>91999905</v>
      </c>
      <c r="X28" s="358" t="s">
        <v>507</v>
      </c>
      <c r="Y28" s="358" t="s">
        <v>508</v>
      </c>
      <c r="Z28" s="359" t="s">
        <v>509</v>
      </c>
      <c r="AA28" s="360">
        <v>8000000</v>
      </c>
      <c r="AB28" s="358"/>
      <c r="AC28" s="361"/>
    </row>
    <row r="29" spans="1:29">
      <c r="A29" s="506" t="s">
        <v>710</v>
      </c>
      <c r="B29" s="510"/>
      <c r="C29" s="438"/>
      <c r="D29" s="438"/>
      <c r="E29" s="438"/>
      <c r="F29" s="438"/>
      <c r="G29" s="438"/>
      <c r="H29" s="438"/>
      <c r="I29" s="438"/>
      <c r="J29" s="438"/>
      <c r="K29" s="438"/>
      <c r="L29" s="438"/>
      <c r="M29" s="438">
        <f>M83+M84</f>
        <v>2423100</v>
      </c>
      <c r="N29" s="438"/>
      <c r="O29" s="511"/>
      <c r="P29" s="464">
        <f t="shared" ref="P29:P40" si="9">SUM(B29:O29)</f>
        <v>2423100</v>
      </c>
      <c r="Q29" s="446" t="s">
        <v>525</v>
      </c>
      <c r="R29" s="446" t="s">
        <v>525</v>
      </c>
      <c r="S29" s="435"/>
      <c r="T29" s="435"/>
      <c r="U29" s="435"/>
      <c r="V29" s="356" t="s">
        <v>2</v>
      </c>
      <c r="W29" s="357">
        <v>91999906</v>
      </c>
      <c r="X29" s="358" t="s">
        <v>507</v>
      </c>
      <c r="Y29" s="358" t="s">
        <v>508</v>
      </c>
      <c r="Z29" s="359" t="s">
        <v>509</v>
      </c>
      <c r="AA29" s="360">
        <v>8000000</v>
      </c>
      <c r="AB29" s="358"/>
      <c r="AC29" s="361"/>
    </row>
    <row r="30" spans="1:29">
      <c r="A30" s="423" t="s">
        <v>495</v>
      </c>
      <c r="B30" s="452">
        <f>ROUND(B169*B114,0)</f>
        <v>3000000</v>
      </c>
      <c r="C30" s="452">
        <f>ROUND(C169*C114,0)</f>
        <v>3000000</v>
      </c>
      <c r="D30" s="452"/>
      <c r="E30" s="452">
        <f t="shared" ref="E30:O30" si="10">ROUND(E169*E114,0)</f>
        <v>3000000</v>
      </c>
      <c r="F30" s="452">
        <f t="shared" si="10"/>
        <v>3000000</v>
      </c>
      <c r="G30" s="452">
        <f t="shared" si="10"/>
        <v>0</v>
      </c>
      <c r="H30" s="452">
        <f t="shared" si="10"/>
        <v>0</v>
      </c>
      <c r="I30" s="452">
        <f t="shared" si="10"/>
        <v>0</v>
      </c>
      <c r="J30" s="452">
        <f t="shared" si="10"/>
        <v>3000000</v>
      </c>
      <c r="K30" s="452">
        <f t="shared" si="10"/>
        <v>3000000</v>
      </c>
      <c r="L30" s="452">
        <f t="shared" si="10"/>
        <v>3000000</v>
      </c>
      <c r="M30" s="452">
        <f t="shared" si="10"/>
        <v>3000000</v>
      </c>
      <c r="N30" s="452">
        <f t="shared" si="10"/>
        <v>3000000</v>
      </c>
      <c r="O30" s="401">
        <f t="shared" si="10"/>
        <v>0</v>
      </c>
      <c r="P30" s="542">
        <f t="shared" si="9"/>
        <v>27000000</v>
      </c>
      <c r="Q30" s="379" t="s">
        <v>527</v>
      </c>
      <c r="R30" s="379" t="s">
        <v>568</v>
      </c>
      <c r="S30" s="379"/>
      <c r="T30" s="379"/>
      <c r="U30" s="379"/>
      <c r="V30" s="356" t="s">
        <v>2</v>
      </c>
      <c r="W30" s="357">
        <v>91999901</v>
      </c>
      <c r="X30" s="358" t="s">
        <v>507</v>
      </c>
      <c r="Y30" s="358" t="s">
        <v>508</v>
      </c>
      <c r="Z30" s="359" t="s">
        <v>537</v>
      </c>
      <c r="AA30" s="360">
        <v>7000000</v>
      </c>
      <c r="AB30" s="358"/>
      <c r="AC30" s="361"/>
    </row>
    <row r="31" spans="1:29">
      <c r="A31" s="412" t="s">
        <v>530</v>
      </c>
      <c r="B31" s="452">
        <f>IF(OR(B19="A",B19="B"),ROUND(B170*B114,0),ROUND(B170*$B$4*B114,0))</f>
        <v>3500000</v>
      </c>
      <c r="C31" s="452">
        <f>IF(OR(C19="A",C19="B"),ROUND(C170*C114,0),ROUND(C170*$B$4*C114,0))</f>
        <v>3500000</v>
      </c>
      <c r="D31" s="452"/>
      <c r="E31" s="452">
        <f t="shared" ref="E31:O31" si="11">IF(OR(E19="A",E19="B"),ROUND(E170*E114,0),ROUND(E170*$B$4*E114,0))</f>
        <v>3500000</v>
      </c>
      <c r="F31" s="452">
        <f t="shared" si="11"/>
        <v>3500000</v>
      </c>
      <c r="G31" s="452">
        <f t="shared" si="11"/>
        <v>0</v>
      </c>
      <c r="H31" s="452">
        <f t="shared" si="11"/>
        <v>4641000</v>
      </c>
      <c r="I31" s="452">
        <f t="shared" si="11"/>
        <v>4641000</v>
      </c>
      <c r="J31" s="452">
        <f t="shared" si="11"/>
        <v>3500000</v>
      </c>
      <c r="K31" s="452">
        <f t="shared" si="11"/>
        <v>3500000</v>
      </c>
      <c r="L31" s="452">
        <f t="shared" si="11"/>
        <v>3500000</v>
      </c>
      <c r="M31" s="452">
        <f t="shared" si="11"/>
        <v>3500000</v>
      </c>
      <c r="N31" s="452">
        <f t="shared" si="11"/>
        <v>3500000</v>
      </c>
      <c r="O31" s="401">
        <f t="shared" si="11"/>
        <v>0</v>
      </c>
      <c r="P31" s="542">
        <f t="shared" si="9"/>
        <v>40782000</v>
      </c>
      <c r="Q31" s="90" t="s">
        <v>525</v>
      </c>
      <c r="R31" s="90" t="s">
        <v>525</v>
      </c>
      <c r="S31" s="90" t="s">
        <v>525</v>
      </c>
      <c r="T31" s="90" t="s">
        <v>525</v>
      </c>
      <c r="U31" s="90" t="s">
        <v>525</v>
      </c>
      <c r="V31" s="356" t="s">
        <v>2</v>
      </c>
      <c r="W31" s="357">
        <v>91999902</v>
      </c>
      <c r="X31" s="358" t="s">
        <v>507</v>
      </c>
      <c r="Y31" s="358" t="s">
        <v>508</v>
      </c>
      <c r="Z31" s="359" t="s">
        <v>537</v>
      </c>
      <c r="AA31" s="360">
        <v>7000000</v>
      </c>
      <c r="AB31" s="358"/>
      <c r="AC31" s="361"/>
    </row>
    <row r="32" spans="1:29">
      <c r="A32" s="415" t="s">
        <v>499</v>
      </c>
      <c r="B32" s="452">
        <f>IF(OR(B19="A",B19="B"),ROUND(B173*B114,0),ROUND(B173*$B$4*B114,0))</f>
        <v>4000000</v>
      </c>
      <c r="C32" s="452">
        <f>IF(OR(C19="A",C19="B"),ROUND(C173*C114,0),ROUND(C173*$B$4*C114,0))</f>
        <v>4000000</v>
      </c>
      <c r="D32" s="452"/>
      <c r="E32" s="452">
        <f t="shared" ref="E32:O32" si="12">IF(OR(E19="A",E19="B"),ROUND(E173*E114,0),ROUND(E173*$B$4*E114,0))</f>
        <v>4000000</v>
      </c>
      <c r="F32" s="452">
        <f t="shared" si="12"/>
        <v>4000000</v>
      </c>
      <c r="G32" s="452">
        <f t="shared" si="12"/>
        <v>0</v>
      </c>
      <c r="H32" s="452">
        <f t="shared" si="12"/>
        <v>5221125</v>
      </c>
      <c r="I32" s="452">
        <f t="shared" si="12"/>
        <v>5221125</v>
      </c>
      <c r="J32" s="452">
        <f t="shared" si="12"/>
        <v>4000000</v>
      </c>
      <c r="K32" s="452">
        <f t="shared" si="12"/>
        <v>4000000</v>
      </c>
      <c r="L32" s="452">
        <f t="shared" si="12"/>
        <v>4000000</v>
      </c>
      <c r="M32" s="452">
        <f t="shared" si="12"/>
        <v>4000000</v>
      </c>
      <c r="N32" s="452">
        <f t="shared" si="12"/>
        <v>4000000</v>
      </c>
      <c r="O32" s="401">
        <f t="shared" si="12"/>
        <v>0</v>
      </c>
      <c r="P32" s="542">
        <f t="shared" si="9"/>
        <v>46442250</v>
      </c>
      <c r="Q32" s="379" t="s">
        <v>527</v>
      </c>
      <c r="R32" s="379" t="s">
        <v>568</v>
      </c>
      <c r="S32" s="379"/>
      <c r="T32" s="379"/>
      <c r="U32" s="379"/>
      <c r="V32" s="356" t="s">
        <v>2</v>
      </c>
      <c r="W32" s="357">
        <v>91999904</v>
      </c>
      <c r="X32" s="358" t="s">
        <v>511</v>
      </c>
      <c r="Y32" s="358" t="s">
        <v>508</v>
      </c>
      <c r="Z32" s="359" t="s">
        <v>537</v>
      </c>
      <c r="AA32" s="360">
        <v>7000000</v>
      </c>
      <c r="AB32" s="358"/>
      <c r="AC32" s="361"/>
    </row>
    <row r="33" spans="1:31">
      <c r="A33" s="415" t="s">
        <v>835</v>
      </c>
      <c r="B33" s="452">
        <f>ROUND(300*B85,0)*$B$4</f>
        <v>0</v>
      </c>
      <c r="C33" s="452">
        <f>ROUND(300*C85,0)*$B$4</f>
        <v>0</v>
      </c>
      <c r="D33" s="452"/>
      <c r="E33" s="452">
        <f t="shared" ref="E33:O33" si="13">ROUND(300*E85,0)*$B$4</f>
        <v>0</v>
      </c>
      <c r="F33" s="452">
        <f t="shared" si="13"/>
        <v>0</v>
      </c>
      <c r="G33" s="452">
        <f t="shared" si="13"/>
        <v>0</v>
      </c>
      <c r="H33" s="452">
        <f t="shared" si="13"/>
        <v>0</v>
      </c>
      <c r="I33" s="452">
        <f t="shared" si="13"/>
        <v>0</v>
      </c>
      <c r="J33" s="452">
        <f t="shared" si="13"/>
        <v>0</v>
      </c>
      <c r="K33" s="452">
        <f t="shared" si="13"/>
        <v>0</v>
      </c>
      <c r="L33" s="452">
        <f t="shared" si="13"/>
        <v>6265350</v>
      </c>
      <c r="M33" s="452">
        <f t="shared" si="13"/>
        <v>0</v>
      </c>
      <c r="N33" s="452">
        <f t="shared" si="13"/>
        <v>0</v>
      </c>
      <c r="O33" s="401">
        <f t="shared" si="13"/>
        <v>0</v>
      </c>
      <c r="P33" s="542">
        <f t="shared" si="9"/>
        <v>6265350</v>
      </c>
      <c r="Q33" s="379" t="s">
        <v>525</v>
      </c>
      <c r="R33" s="379" t="s">
        <v>525</v>
      </c>
      <c r="S33" s="379"/>
      <c r="T33" s="379"/>
      <c r="U33" s="379"/>
      <c r="V33" s="356" t="s">
        <v>2</v>
      </c>
      <c r="W33" s="357">
        <v>91999905</v>
      </c>
      <c r="X33" s="358" t="s">
        <v>507</v>
      </c>
      <c r="Y33" s="358" t="s">
        <v>508</v>
      </c>
      <c r="Z33" s="359" t="s">
        <v>537</v>
      </c>
      <c r="AA33" s="360">
        <v>7000000</v>
      </c>
      <c r="AB33" s="358"/>
      <c r="AC33" s="361"/>
    </row>
    <row r="34" spans="1:31">
      <c r="A34" s="415" t="s">
        <v>837</v>
      </c>
      <c r="B34" s="452">
        <f>ROUND(1000*B86,0)*$B$4</f>
        <v>22903335</v>
      </c>
      <c r="C34" s="452">
        <f>ROUND(1000*C86,0)*$B$4</f>
        <v>0</v>
      </c>
      <c r="D34" s="452"/>
      <c r="E34" s="452">
        <f t="shared" ref="E34:O34" si="14">ROUND(1000*E86,0)*$B$4</f>
        <v>0</v>
      </c>
      <c r="F34" s="452">
        <f t="shared" si="14"/>
        <v>0</v>
      </c>
      <c r="G34" s="452">
        <f t="shared" si="14"/>
        <v>0</v>
      </c>
      <c r="H34" s="452">
        <f t="shared" si="14"/>
        <v>23205000</v>
      </c>
      <c r="I34" s="452">
        <f t="shared" si="14"/>
        <v>0</v>
      </c>
      <c r="J34" s="452">
        <f t="shared" si="14"/>
        <v>0</v>
      </c>
      <c r="K34" s="452">
        <f t="shared" si="14"/>
        <v>23205000</v>
      </c>
      <c r="L34" s="452">
        <f t="shared" si="14"/>
        <v>0</v>
      </c>
      <c r="M34" s="452">
        <f t="shared" si="14"/>
        <v>0</v>
      </c>
      <c r="N34" s="452">
        <f t="shared" si="14"/>
        <v>0</v>
      </c>
      <c r="O34" s="401">
        <f t="shared" si="14"/>
        <v>0</v>
      </c>
      <c r="P34" s="542">
        <f t="shared" si="9"/>
        <v>69313335</v>
      </c>
      <c r="Q34" s="379" t="s">
        <v>525</v>
      </c>
      <c r="R34" s="379" t="s">
        <v>525</v>
      </c>
      <c r="S34" s="379"/>
      <c r="T34" s="379"/>
      <c r="U34" s="379"/>
      <c r="V34" s="356" t="s">
        <v>2</v>
      </c>
      <c r="W34" s="357">
        <v>91999906</v>
      </c>
      <c r="X34" s="358" t="s">
        <v>507</v>
      </c>
      <c r="Y34" s="358" t="s">
        <v>508</v>
      </c>
      <c r="Z34" s="359" t="s">
        <v>537</v>
      </c>
      <c r="AA34" s="360">
        <v>7000000</v>
      </c>
      <c r="AB34" s="358"/>
      <c r="AC34" s="361"/>
    </row>
    <row r="35" spans="1:31">
      <c r="A35" s="538" t="s">
        <v>822</v>
      </c>
      <c r="B35" s="502">
        <f>ROUND('UAT8-Aug'!B84*SUM('UAT9-Sep'!B136:B146),0)*-1</f>
        <v>-5090912</v>
      </c>
      <c r="C35" s="502">
        <f>ROUND('UAT8-Aug'!C84*SUM('UAT9-Sep'!C136:C146),0)*-1</f>
        <v>-704545</v>
      </c>
      <c r="D35" s="502"/>
      <c r="E35" s="502">
        <f>ROUND('UAT8-Aug'!E84*SUM('UAT9-Sep'!E136:E146),0)*-1</f>
        <v>-7500000</v>
      </c>
      <c r="F35" s="502">
        <f>ROUND('UAT8-Aug'!F84*SUM('UAT9-Sep'!F136:F146),0)*-1</f>
        <v>0</v>
      </c>
      <c r="G35" s="502">
        <f>ROUND('UAT8-Aug'!G84*SUM('UAT9-Sep'!G136:G146),0)*-1</f>
        <v>0</v>
      </c>
      <c r="H35" s="502">
        <f>ROUND('UAT8-Aug'!H84*SUM('UAT9-Sep'!H136:H146),0)*-1</f>
        <v>-69615000</v>
      </c>
      <c r="I35" s="502">
        <f>ROUND('UAT8-Aug'!I84*SUM('UAT9-Sep'!I136:I146),0)*-1</f>
        <v>0</v>
      </c>
      <c r="J35" s="502">
        <f>ROUND('UAT8-Aug'!J84*SUM('UAT9-Sep'!J136:J146),0)*-1</f>
        <v>0</v>
      </c>
      <c r="K35" s="502">
        <f>ROUND('UAT8-Aug'!K84*SUM('UAT9-Sep'!K136:K146),0)*-1</f>
        <v>-3636360</v>
      </c>
      <c r="L35" s="502">
        <f>ROUND('UAT8-Aug'!L84*SUM('UAT9-Sep'!L136:L146),0)*-1</f>
        <v>-5749997</v>
      </c>
      <c r="M35" s="502">
        <f>ROUND('UAT8-Aug'!M84*SUM('UAT9-Sep'!M136:M146),0)*-1</f>
        <v>-3818184</v>
      </c>
      <c r="N35" s="502">
        <f>ROUND('UAT8-Aug'!N84*SUM('UAT9-Sep'!N136:N146),0)*-1</f>
        <v>-7636356</v>
      </c>
      <c r="O35" s="503">
        <f>ROUND('UAT8-Aug'!O84*SUM('UAT9-Sep'!O136:O146),0)*-1</f>
        <v>0</v>
      </c>
      <c r="P35" s="464">
        <f t="shared" si="9"/>
        <v>-103751354</v>
      </c>
      <c r="Q35" s="446" t="s">
        <v>525</v>
      </c>
      <c r="R35" s="446" t="s">
        <v>525</v>
      </c>
      <c r="S35" s="446"/>
      <c r="T35" s="446"/>
      <c r="U35" s="446"/>
      <c r="V35" s="356" t="s">
        <v>2</v>
      </c>
      <c r="W35" s="357">
        <v>91999907</v>
      </c>
      <c r="X35" s="358" t="s">
        <v>603</v>
      </c>
      <c r="Y35" s="358" t="s">
        <v>508</v>
      </c>
      <c r="Z35" s="359">
        <v>7065</v>
      </c>
      <c r="AA35" s="360">
        <v>100</v>
      </c>
      <c r="AB35" s="447" t="s">
        <v>542</v>
      </c>
      <c r="AC35" s="448"/>
    </row>
    <row r="36" spans="1:31">
      <c r="A36" s="538" t="s">
        <v>823</v>
      </c>
      <c r="B36" s="502">
        <f>ROUND('UAT8-Aug'!B85*SUM('UAT9-Sep'!B136:B146),0)*-1</f>
        <v>-8967280</v>
      </c>
      <c r="C36" s="502">
        <f>ROUND('UAT8-Aug'!C85*SUM('UAT9-Sep'!C136:C146),0)*-1</f>
        <v>-1373863</v>
      </c>
      <c r="D36" s="502"/>
      <c r="E36" s="502">
        <f>ROUND('UAT8-Aug'!E85*SUM('UAT9-Sep'!E136:E146),0)*-1</f>
        <v>-6975000</v>
      </c>
      <c r="F36" s="502">
        <f>ROUND('UAT8-Aug'!F85*SUM('UAT9-Sep'!F136:F146),0)*-1</f>
        <v>0</v>
      </c>
      <c r="G36" s="502">
        <f>ROUND('UAT8-Aug'!G85*SUM('UAT9-Sep'!G136:G146),0)*-1</f>
        <v>0</v>
      </c>
      <c r="H36" s="502">
        <f>ROUND('UAT8-Aug'!H85*SUM('UAT9-Sep'!H136:H146),0)*-1</f>
        <v>-23732388</v>
      </c>
      <c r="I36" s="502">
        <f>ROUND('UAT8-Aug'!I85*SUM('UAT9-Sep'!I136:I146),0)*-1</f>
        <v>0</v>
      </c>
      <c r="J36" s="502">
        <f>ROUND('UAT8-Aug'!J85*SUM('UAT9-Sep'!J136:J146),0)*-1</f>
        <v>0</v>
      </c>
      <c r="K36" s="502">
        <f>ROUND('UAT8-Aug'!K85*SUM('UAT9-Sep'!K136:K146),0)*-1</f>
        <v>-4810912</v>
      </c>
      <c r="L36" s="502">
        <f>ROUND('UAT8-Aug'!L85*SUM('UAT9-Sep'!L136:L146),0)*-1</f>
        <v>-5115000</v>
      </c>
      <c r="M36" s="502">
        <f>ROUND('UAT8-Aug'!M85*SUM('UAT9-Sep'!M136:M146),0)*-1</f>
        <v>-7489092</v>
      </c>
      <c r="N36" s="502">
        <f>ROUND('UAT8-Aug'!N85*SUM('UAT9-Sep'!N136:N146),0)*-1</f>
        <v>-12485445</v>
      </c>
      <c r="O36" s="503">
        <f>ROUND('UAT8-Aug'!O85*SUM('UAT9-Sep'!O136:O146),0)*-1</f>
        <v>0</v>
      </c>
      <c r="P36" s="464">
        <f t="shared" si="9"/>
        <v>-70948980</v>
      </c>
      <c r="Q36" s="446" t="s">
        <v>525</v>
      </c>
      <c r="R36" s="446" t="s">
        <v>525</v>
      </c>
      <c r="S36" s="446"/>
      <c r="T36" s="446"/>
      <c r="U36" s="446"/>
      <c r="V36" s="356" t="s">
        <v>2</v>
      </c>
      <c r="W36" s="357">
        <v>91999908</v>
      </c>
      <c r="X36" s="358" t="s">
        <v>507</v>
      </c>
      <c r="Y36" s="358" t="s">
        <v>508</v>
      </c>
      <c r="Z36" s="359">
        <v>7065</v>
      </c>
      <c r="AA36" s="360">
        <v>100</v>
      </c>
      <c r="AB36" s="447" t="s">
        <v>542</v>
      </c>
      <c r="AC36" s="448"/>
    </row>
    <row r="37" spans="1:31">
      <c r="A37" s="415"/>
      <c r="B37" s="452"/>
      <c r="C37" s="452"/>
      <c r="D37" s="452"/>
      <c r="E37" s="452"/>
      <c r="F37" s="452"/>
      <c r="G37" s="452"/>
      <c r="H37" s="452"/>
      <c r="I37" s="452"/>
      <c r="J37" s="452"/>
      <c r="K37" s="452"/>
      <c r="L37" s="452"/>
      <c r="M37" s="452"/>
      <c r="N37" s="452"/>
      <c r="O37" s="401"/>
      <c r="P37" s="542"/>
      <c r="Q37" s="543"/>
      <c r="R37" s="379"/>
      <c r="S37" s="379"/>
      <c r="T37" s="379"/>
      <c r="U37" s="379"/>
      <c r="V37" s="356" t="s">
        <v>2</v>
      </c>
      <c r="W37" s="357">
        <v>91999907</v>
      </c>
      <c r="X37" s="358" t="s">
        <v>603</v>
      </c>
      <c r="Y37" s="358" t="s">
        <v>508</v>
      </c>
      <c r="Z37" s="359">
        <v>7070</v>
      </c>
      <c r="AA37" s="360">
        <v>200</v>
      </c>
      <c r="AB37" s="447" t="s">
        <v>542</v>
      </c>
      <c r="AC37" s="448"/>
    </row>
    <row r="38" spans="1:31">
      <c r="A38" s="416" t="s">
        <v>582</v>
      </c>
      <c r="B38" s="331"/>
      <c r="C38" s="332"/>
      <c r="D38" s="332"/>
      <c r="E38" s="340"/>
      <c r="F38" s="332"/>
      <c r="G38" s="332"/>
      <c r="H38" s="332"/>
      <c r="I38" s="332"/>
      <c r="J38" s="453"/>
      <c r="K38" s="340"/>
      <c r="L38" s="340"/>
      <c r="M38" s="340"/>
      <c r="N38" s="340"/>
      <c r="O38" s="401"/>
      <c r="P38" s="542"/>
      <c r="Q38" s="380"/>
      <c r="R38" s="380"/>
      <c r="S38" s="380"/>
      <c r="T38" s="380"/>
      <c r="U38" s="380"/>
      <c r="V38" s="356" t="s">
        <v>2</v>
      </c>
      <c r="W38" s="357">
        <v>91999908</v>
      </c>
      <c r="X38" s="358" t="s">
        <v>507</v>
      </c>
      <c r="Y38" s="358" t="s">
        <v>508</v>
      </c>
      <c r="Z38" s="359">
        <v>7070</v>
      </c>
      <c r="AA38" s="360">
        <v>200</v>
      </c>
      <c r="AB38" s="447" t="s">
        <v>542</v>
      </c>
      <c r="AC38" s="448"/>
    </row>
    <row r="39" spans="1:31">
      <c r="A39" s="454" t="s">
        <v>598</v>
      </c>
      <c r="B39" s="332">
        <f>ROUND(B171*B114,0)</f>
        <v>2500000</v>
      </c>
      <c r="C39" s="332">
        <f>ROUND(C171*C114,0)</f>
        <v>2500000</v>
      </c>
      <c r="D39" s="332"/>
      <c r="E39" s="332">
        <f t="shared" ref="E39:O39" si="15">ROUND(E171*E114,0)</f>
        <v>2500000</v>
      </c>
      <c r="F39" s="332">
        <f t="shared" si="15"/>
        <v>2500000</v>
      </c>
      <c r="G39" s="332">
        <f t="shared" si="15"/>
        <v>0</v>
      </c>
      <c r="H39" s="332">
        <f t="shared" si="15"/>
        <v>0</v>
      </c>
      <c r="I39" s="332">
        <f t="shared" si="15"/>
        <v>0</v>
      </c>
      <c r="J39" s="332">
        <f t="shared" si="15"/>
        <v>2500000</v>
      </c>
      <c r="K39" s="332">
        <f t="shared" si="15"/>
        <v>2500000</v>
      </c>
      <c r="L39" s="332">
        <f t="shared" si="15"/>
        <v>2500000</v>
      </c>
      <c r="M39" s="332">
        <f t="shared" si="15"/>
        <v>2500000</v>
      </c>
      <c r="N39" s="332">
        <f t="shared" si="15"/>
        <v>2500000</v>
      </c>
      <c r="O39" s="400">
        <f t="shared" si="15"/>
        <v>0</v>
      </c>
      <c r="P39" s="542">
        <f t="shared" si="9"/>
        <v>22500000</v>
      </c>
      <c r="Q39" s="379" t="s">
        <v>527</v>
      </c>
      <c r="R39" s="379"/>
      <c r="S39" s="379"/>
      <c r="T39" s="379"/>
      <c r="U39" s="379" t="s">
        <v>527</v>
      </c>
      <c r="V39" s="356" t="s">
        <v>2</v>
      </c>
      <c r="W39" s="357">
        <v>91999901</v>
      </c>
      <c r="X39" s="358" t="s">
        <v>507</v>
      </c>
      <c r="Y39" s="358" t="s">
        <v>508</v>
      </c>
      <c r="Z39" s="359">
        <v>9140</v>
      </c>
      <c r="AA39" s="360"/>
      <c r="AB39" s="750">
        <v>7.5999999999999998E-2</v>
      </c>
      <c r="AC39" s="448"/>
    </row>
    <row r="40" spans="1:31">
      <c r="A40" s="451" t="s">
        <v>493</v>
      </c>
      <c r="B40" s="332">
        <f>ROUND(B172*B114,0)</f>
        <v>730000</v>
      </c>
      <c r="C40" s="332">
        <f>ROUND(C172*C114,0)</f>
        <v>730000</v>
      </c>
      <c r="D40" s="332"/>
      <c r="E40" s="332">
        <f t="shared" ref="E40:O40" si="16">ROUND(E172*E114,0)</f>
        <v>730000</v>
      </c>
      <c r="F40" s="332">
        <f t="shared" si="16"/>
        <v>730000</v>
      </c>
      <c r="G40" s="332">
        <f t="shared" si="16"/>
        <v>0</v>
      </c>
      <c r="H40" s="332">
        <f t="shared" si="16"/>
        <v>0</v>
      </c>
      <c r="I40" s="332">
        <f t="shared" si="16"/>
        <v>0</v>
      </c>
      <c r="J40" s="332">
        <f t="shared" si="16"/>
        <v>730000</v>
      </c>
      <c r="K40" s="332">
        <f t="shared" si="16"/>
        <v>730000</v>
      </c>
      <c r="L40" s="332">
        <f t="shared" si="16"/>
        <v>730000</v>
      </c>
      <c r="M40" s="332">
        <f t="shared" si="16"/>
        <v>730000</v>
      </c>
      <c r="N40" s="332">
        <f t="shared" si="16"/>
        <v>730000</v>
      </c>
      <c r="O40" s="400">
        <f t="shared" si="16"/>
        <v>0</v>
      </c>
      <c r="P40" s="542">
        <f t="shared" si="9"/>
        <v>6570000</v>
      </c>
      <c r="Q40" s="379" t="s">
        <v>527</v>
      </c>
      <c r="R40" s="379"/>
      <c r="S40" s="379"/>
      <c r="T40" s="379"/>
      <c r="U40" s="379" t="s">
        <v>527</v>
      </c>
      <c r="V40" s="356" t="s">
        <v>2</v>
      </c>
      <c r="W40" s="357">
        <v>91999907</v>
      </c>
      <c r="X40" s="358" t="s">
        <v>507</v>
      </c>
      <c r="Y40" s="358" t="s">
        <v>508</v>
      </c>
      <c r="Z40" s="359">
        <v>9140</v>
      </c>
      <c r="AA40" s="360"/>
      <c r="AB40" s="750">
        <v>0.56000000000000005</v>
      </c>
      <c r="AC40" s="448"/>
    </row>
    <row r="41" spans="1:31">
      <c r="A41" s="412"/>
      <c r="B41" s="331"/>
      <c r="C41" s="332"/>
      <c r="D41" s="332"/>
      <c r="E41" s="332"/>
      <c r="F41" s="332"/>
      <c r="G41" s="332"/>
      <c r="H41" s="332"/>
      <c r="I41" s="332"/>
      <c r="J41" s="332"/>
      <c r="K41" s="332"/>
      <c r="L41" s="332"/>
      <c r="M41" s="332"/>
      <c r="N41" s="332"/>
      <c r="O41" s="400"/>
      <c r="P41" s="355"/>
      <c r="Q41" s="379"/>
      <c r="R41" s="379"/>
      <c r="S41" s="379"/>
      <c r="T41" s="379"/>
      <c r="U41" s="379"/>
      <c r="V41" s="356" t="s">
        <v>773</v>
      </c>
      <c r="W41" s="357">
        <v>91999905</v>
      </c>
      <c r="X41" s="358" t="s">
        <v>507</v>
      </c>
      <c r="Y41" s="358" t="s">
        <v>508</v>
      </c>
      <c r="Z41" s="359" t="s">
        <v>649</v>
      </c>
      <c r="AA41" s="360"/>
      <c r="AB41" s="447">
        <v>1</v>
      </c>
      <c r="AC41" s="448"/>
    </row>
    <row r="42" spans="1:31">
      <c r="A42" s="528" t="s">
        <v>572</v>
      </c>
      <c r="B42" s="332"/>
      <c r="C42" s="332"/>
      <c r="D42" s="332"/>
      <c r="E42" s="340"/>
      <c r="F42" s="332"/>
      <c r="G42" s="332"/>
      <c r="H42" s="332"/>
      <c r="I42" s="332"/>
      <c r="J42" s="332"/>
      <c r="K42" s="340"/>
      <c r="L42" s="340"/>
      <c r="M42" s="340"/>
      <c r="N42" s="340"/>
      <c r="O42" s="401"/>
      <c r="P42" s="355"/>
      <c r="Q42" s="379"/>
      <c r="R42" s="379"/>
      <c r="S42" s="379"/>
      <c r="T42" s="379"/>
      <c r="U42" s="379"/>
      <c r="V42" s="593" t="s">
        <v>2</v>
      </c>
      <c r="W42" s="594">
        <v>91999901</v>
      </c>
      <c r="X42" s="595" t="s">
        <v>818</v>
      </c>
      <c r="Y42" s="595" t="s">
        <v>820</v>
      </c>
      <c r="Z42" s="596">
        <v>3081</v>
      </c>
      <c r="AA42" s="592">
        <f>'UAT8-Aug'!AA42</f>
        <v>3000000</v>
      </c>
      <c r="AB42" s="595"/>
      <c r="AC42" s="597"/>
    </row>
    <row r="43" spans="1:31">
      <c r="A43" s="445" t="s">
        <v>512</v>
      </c>
      <c r="B43" s="332">
        <f>IF(OR(B19="A",B19="B"),B117,ROUND(B117*B13%,0))</f>
        <v>657534</v>
      </c>
      <c r="C43" s="332">
        <f>IF(OR(C19="A",C19="B"),C117,ROUND(C117*C13%,0))</f>
        <v>657534</v>
      </c>
      <c r="D43" s="332"/>
      <c r="E43" s="332">
        <f t="shared" ref="E43:O43" si="17">IF(OR(E19="A",E19="B"),E117,ROUND(E117*E13%,0))</f>
        <v>657534</v>
      </c>
      <c r="F43" s="332">
        <f t="shared" si="17"/>
        <v>657534</v>
      </c>
      <c r="G43" s="332">
        <f t="shared" si="17"/>
        <v>0</v>
      </c>
      <c r="H43" s="332">
        <f t="shared" si="17"/>
        <v>328767</v>
      </c>
      <c r="I43" s="332">
        <f t="shared" si="17"/>
        <v>0</v>
      </c>
      <c r="J43" s="332">
        <f t="shared" si="17"/>
        <v>0</v>
      </c>
      <c r="K43" s="332">
        <f t="shared" si="17"/>
        <v>0</v>
      </c>
      <c r="L43" s="332">
        <f t="shared" si="17"/>
        <v>0</v>
      </c>
      <c r="M43" s="332">
        <f t="shared" si="17"/>
        <v>0</v>
      </c>
      <c r="N43" s="332">
        <f t="shared" si="17"/>
        <v>0</v>
      </c>
      <c r="O43" s="332">
        <f t="shared" si="17"/>
        <v>0</v>
      </c>
      <c r="P43" s="345">
        <f>SUM(B43:O43)</f>
        <v>2958903</v>
      </c>
      <c r="Q43" s="379"/>
      <c r="R43" s="379" t="s">
        <v>597</v>
      </c>
      <c r="S43" s="379"/>
      <c r="T43" s="379"/>
      <c r="U43" s="379"/>
      <c r="V43" s="593" t="s">
        <v>2</v>
      </c>
      <c r="W43" s="594">
        <v>91999902</v>
      </c>
      <c r="X43" s="595" t="s">
        <v>818</v>
      </c>
      <c r="Y43" s="595" t="s">
        <v>820</v>
      </c>
      <c r="Z43" s="596">
        <v>3081</v>
      </c>
      <c r="AA43" s="592">
        <f>'UAT8-Aug'!AA43</f>
        <v>3000000</v>
      </c>
      <c r="AB43" s="595"/>
      <c r="AC43" s="597"/>
    </row>
    <row r="44" spans="1:31">
      <c r="A44" s="445" t="s">
        <v>534</v>
      </c>
      <c r="B44" s="332">
        <f>IF(OR(B19="A",B19="B"),ROUND(2369796/365*B17,0),ROUND(ROUND(2466.55*$B$4,0)/365*B17,0))*B20*IF(B18&lt;3,0,IF(B18&lt;6,50%,100%))</f>
        <v>194778</v>
      </c>
      <c r="C44" s="332">
        <f>IF(OR(C19="A",C19="B"),ROUND(2369796/365*C17,0),ROUND(ROUND(2466.55*$B$4,0)/365*C17,0))*C20*IF(C18&lt;3,0,IF(C18&lt;6,50%,100%))</f>
        <v>389556</v>
      </c>
      <c r="D44" s="332"/>
      <c r="E44" s="332">
        <f t="shared" ref="E44:O44" si="18">IF(OR(E19="A",E19="B"),ROUND(2369796/365*E17,0),ROUND(ROUND(2466.55*$B$4,0)/365*E17,0))*E20*IF(E18&lt;3,0,IF(E18&lt;6,50%,100%))</f>
        <v>292167</v>
      </c>
      <c r="F44" s="332">
        <f t="shared" si="18"/>
        <v>0</v>
      </c>
      <c r="G44" s="332">
        <f t="shared" si="18"/>
        <v>0</v>
      </c>
      <c r="H44" s="332">
        <f t="shared" si="18"/>
        <v>9408706</v>
      </c>
      <c r="I44" s="332">
        <f t="shared" si="18"/>
        <v>0</v>
      </c>
      <c r="J44" s="332">
        <f t="shared" si="18"/>
        <v>0</v>
      </c>
      <c r="K44" s="332">
        <f t="shared" si="18"/>
        <v>0</v>
      </c>
      <c r="L44" s="332">
        <f t="shared" si="18"/>
        <v>0</v>
      </c>
      <c r="M44" s="332">
        <f t="shared" si="18"/>
        <v>0</v>
      </c>
      <c r="N44" s="332">
        <f t="shared" si="18"/>
        <v>0</v>
      </c>
      <c r="O44" s="400">
        <f t="shared" si="18"/>
        <v>0</v>
      </c>
      <c r="P44" s="346">
        <f>SUM(B44:O44)</f>
        <v>10285207</v>
      </c>
      <c r="Q44" s="379"/>
      <c r="R44" s="379" t="s">
        <v>597</v>
      </c>
      <c r="S44" s="379"/>
      <c r="T44" s="379"/>
      <c r="U44" s="379"/>
      <c r="V44" s="593" t="s">
        <v>2</v>
      </c>
      <c r="W44" s="594">
        <v>91999904</v>
      </c>
      <c r="X44" s="595" t="s">
        <v>817</v>
      </c>
      <c r="Y44" s="595" t="s">
        <v>819</v>
      </c>
      <c r="Z44" s="596">
        <v>3081</v>
      </c>
      <c r="AA44" s="592">
        <f>'UAT8-Aug'!AA44</f>
        <v>3000000</v>
      </c>
      <c r="AB44" s="595"/>
      <c r="AC44" s="597"/>
    </row>
    <row r="45" spans="1:31">
      <c r="A45" s="412"/>
      <c r="B45" s="331"/>
      <c r="C45" s="332"/>
      <c r="D45" s="332"/>
      <c r="E45" s="340"/>
      <c r="F45" s="368"/>
      <c r="G45" s="368"/>
      <c r="H45" s="368"/>
      <c r="I45" s="368"/>
      <c r="J45" s="368"/>
      <c r="K45" s="340"/>
      <c r="L45" s="340"/>
      <c r="M45" s="340"/>
      <c r="N45" s="340"/>
      <c r="O45" s="401"/>
      <c r="P45" s="355"/>
      <c r="Q45" s="379"/>
      <c r="R45" s="379"/>
      <c r="S45" s="379"/>
      <c r="T45" s="379"/>
      <c r="U45" s="379"/>
      <c r="V45" s="593" t="s">
        <v>2</v>
      </c>
      <c r="W45" s="594">
        <v>91999905</v>
      </c>
      <c r="X45" s="595" t="s">
        <v>817</v>
      </c>
      <c r="Y45" s="595" t="s">
        <v>819</v>
      </c>
      <c r="Z45" s="596">
        <v>3081</v>
      </c>
      <c r="AA45" s="592">
        <f>'UAT8-Aug'!AA45</f>
        <v>3000000</v>
      </c>
      <c r="AB45" s="595"/>
      <c r="AC45" s="597"/>
      <c r="AD45" s="293"/>
      <c r="AE45" s="293"/>
    </row>
    <row r="46" spans="1:31">
      <c r="A46" s="450" t="s">
        <v>61</v>
      </c>
      <c r="B46" s="365">
        <f>SUM(B25:B41)</f>
        <v>31675143</v>
      </c>
      <c r="C46" s="366">
        <f>SUM(C25:C41)</f>
        <v>19711592</v>
      </c>
      <c r="D46" s="366"/>
      <c r="E46" s="366">
        <f t="shared" ref="E46:O46" si="19">SUM(E25:E41)</f>
        <v>10255000</v>
      </c>
      <c r="F46" s="366">
        <f t="shared" si="19"/>
        <v>29730000</v>
      </c>
      <c r="G46" s="366">
        <f t="shared" si="19"/>
        <v>29006250</v>
      </c>
      <c r="H46" s="366">
        <f t="shared" si="19"/>
        <v>98673987</v>
      </c>
      <c r="I46" s="366">
        <f t="shared" si="19"/>
        <v>100361625</v>
      </c>
      <c r="J46" s="366">
        <f t="shared" si="19"/>
        <v>85230000</v>
      </c>
      <c r="K46" s="366">
        <f t="shared" si="19"/>
        <v>41487728</v>
      </c>
      <c r="L46" s="366">
        <f t="shared" si="19"/>
        <v>20630353</v>
      </c>
      <c r="M46" s="366">
        <f t="shared" si="19"/>
        <v>15345824</v>
      </c>
      <c r="N46" s="495">
        <f t="shared" si="19"/>
        <v>4458199</v>
      </c>
      <c r="O46" s="496">
        <f t="shared" si="19"/>
        <v>4500000</v>
      </c>
      <c r="P46" s="355">
        <f>SUM(B46:O46)</f>
        <v>491065701</v>
      </c>
      <c r="Q46" s="379"/>
      <c r="R46" s="379"/>
      <c r="S46" s="379"/>
      <c r="T46" s="379"/>
      <c r="U46" s="379"/>
      <c r="V46" s="593" t="s">
        <v>2</v>
      </c>
      <c r="W46" s="594">
        <v>91999909</v>
      </c>
      <c r="X46" s="595" t="s">
        <v>817</v>
      </c>
      <c r="Y46" s="595" t="s">
        <v>819</v>
      </c>
      <c r="Z46" s="596">
        <v>3081</v>
      </c>
      <c r="AA46" s="592">
        <f>'UAT8-Aug'!AA46</f>
        <v>3000000</v>
      </c>
      <c r="AB46" s="595"/>
      <c r="AC46" s="597"/>
      <c r="AD46" s="293"/>
      <c r="AE46" s="293"/>
    </row>
    <row r="47" spans="1:31">
      <c r="A47" s="418"/>
      <c r="B47" s="331"/>
      <c r="C47" s="332"/>
      <c r="D47" s="332"/>
      <c r="E47" s="340"/>
      <c r="F47" s="332"/>
      <c r="G47" s="332"/>
      <c r="H47" s="332"/>
      <c r="I47" s="332"/>
      <c r="J47" s="332"/>
      <c r="K47" s="340"/>
      <c r="L47" s="340"/>
      <c r="M47" s="340"/>
      <c r="N47" s="340"/>
      <c r="O47" s="401"/>
      <c r="P47" s="355"/>
      <c r="Q47" s="379"/>
      <c r="R47" s="379"/>
      <c r="S47" s="379"/>
      <c r="T47" s="379"/>
      <c r="U47" s="379"/>
      <c r="V47" s="593" t="s">
        <v>2</v>
      </c>
      <c r="W47" s="594">
        <v>91999910</v>
      </c>
      <c r="X47" s="595" t="s">
        <v>817</v>
      </c>
      <c r="Y47" s="595" t="s">
        <v>819</v>
      </c>
      <c r="Z47" s="596">
        <v>3081</v>
      </c>
      <c r="AA47" s="592">
        <f>'UAT8-Aug'!AA47</f>
        <v>3000000</v>
      </c>
      <c r="AB47" s="595"/>
      <c r="AC47" s="597"/>
      <c r="AD47" s="293"/>
      <c r="AE47" s="293"/>
    </row>
    <row r="48" spans="1:31" ht="15.6">
      <c r="A48" s="419" t="s">
        <v>60</v>
      </c>
      <c r="B48" s="369"/>
      <c r="C48" s="362"/>
      <c r="D48" s="362"/>
      <c r="E48" s="370"/>
      <c r="F48" s="362"/>
      <c r="G48" s="362"/>
      <c r="H48" s="362"/>
      <c r="I48" s="362"/>
      <c r="J48" s="362"/>
      <c r="K48" s="370"/>
      <c r="L48" s="370"/>
      <c r="M48" s="370"/>
      <c r="N48" s="370"/>
      <c r="O48" s="383"/>
      <c r="P48" s="355"/>
      <c r="Q48" s="379"/>
      <c r="R48" s="379"/>
      <c r="S48" s="379"/>
      <c r="T48" s="379"/>
      <c r="U48" s="379"/>
      <c r="V48" s="593" t="s">
        <v>2</v>
      </c>
      <c r="W48" s="594">
        <v>91999911</v>
      </c>
      <c r="X48" s="595" t="s">
        <v>817</v>
      </c>
      <c r="Y48" s="595" t="s">
        <v>819</v>
      </c>
      <c r="Z48" s="596">
        <v>3081</v>
      </c>
      <c r="AA48" s="592">
        <f>'UAT8-Aug'!AA48</f>
        <v>3000000</v>
      </c>
      <c r="AB48" s="595"/>
      <c r="AC48" s="597"/>
      <c r="AD48" s="293"/>
      <c r="AE48" s="293"/>
    </row>
    <row r="49" spans="1:31">
      <c r="A49" s="414" t="s">
        <v>55</v>
      </c>
      <c r="B49" s="369"/>
      <c r="C49" s="362"/>
      <c r="D49" s="362"/>
      <c r="E49" s="370"/>
      <c r="F49" s="362"/>
      <c r="G49" s="362"/>
      <c r="H49" s="362"/>
      <c r="I49" s="362"/>
      <c r="J49" s="362"/>
      <c r="K49" s="370"/>
      <c r="L49" s="370"/>
      <c r="M49" s="370"/>
      <c r="N49" s="370"/>
      <c r="O49" s="383"/>
      <c r="P49" s="355"/>
      <c r="Q49" s="379"/>
      <c r="R49" s="379"/>
      <c r="S49" s="379"/>
      <c r="T49" s="379"/>
      <c r="U49" s="379"/>
      <c r="V49" s="593" t="s">
        <v>2</v>
      </c>
      <c r="W49" s="594">
        <v>91999912</v>
      </c>
      <c r="X49" s="595" t="s">
        <v>817</v>
      </c>
      <c r="Y49" s="595" t="s">
        <v>819</v>
      </c>
      <c r="Z49" s="596">
        <v>3081</v>
      </c>
      <c r="AA49" s="592">
        <f>'UAT8-Aug'!AA49</f>
        <v>3000000</v>
      </c>
      <c r="AB49" s="595"/>
      <c r="AC49" s="597"/>
      <c r="AD49" s="293"/>
      <c r="AE49" s="293"/>
    </row>
    <row r="50" spans="1:31">
      <c r="A50" s="424" t="s">
        <v>576</v>
      </c>
      <c r="B50" s="332">
        <f>ROUND(MIN(B$124,29800000)*'New Hire'!C56,0)</f>
        <v>0</v>
      </c>
      <c r="C50" s="332">
        <f>ROUND(MIN(C$124,29800000)*'New Hire'!D56,0)</f>
        <v>924800</v>
      </c>
      <c r="D50" s="332">
        <f>ROUND(MIN(D$124,29800000)*'New Hire'!E56,0)</f>
        <v>0</v>
      </c>
      <c r="E50" s="332">
        <f>ROUND(MIN(E$124,29800000)*'New Hire'!F56,0)</f>
        <v>0</v>
      </c>
      <c r="F50" s="332">
        <f>ROUND(MIN(F$124,29800000)*'New Hire'!G56,0)</f>
        <v>0</v>
      </c>
      <c r="G50" s="332">
        <f>ROUND(MIN(G$124,29800000)*'New Hire'!H56,0)</f>
        <v>0</v>
      </c>
      <c r="H50" s="332">
        <f>ROUND(MIN(H$124,29800000)*'New Hire'!I56,0)</f>
        <v>0</v>
      </c>
      <c r="I50" s="332">
        <f>ROUND(MIN(I$124,29800000)*'New Hire'!J56,0)</f>
        <v>0</v>
      </c>
      <c r="J50" s="332">
        <f>ROUND(MIN(J$124,29800000)*'New Hire'!K56,0)</f>
        <v>2384000</v>
      </c>
      <c r="K50" s="332">
        <f>ROUND(MIN(K$124,29800000)*'New Hire'!L56,0)</f>
        <v>0</v>
      </c>
      <c r="L50" s="332">
        <f>ROUND(MIN(L$124,29800000)*'New Hire'!M56,0)</f>
        <v>0</v>
      </c>
      <c r="M50" s="332">
        <f>ROUND(MIN(M$124,29800000)*'New Hire'!N56,0)</f>
        <v>0</v>
      </c>
      <c r="N50" s="332">
        <f>ROUND(MIN(N$124,29800000)*'New Hire'!O56,0)</f>
        <v>0</v>
      </c>
      <c r="O50" s="400">
        <f>ROUND(MIN(O$124,29800000)*'New Hire'!P56,0)</f>
        <v>0</v>
      </c>
      <c r="P50" s="355">
        <f t="shared" ref="P50:P57" si="20">SUM(B50:O50)</f>
        <v>3308800</v>
      </c>
      <c r="Q50" s="379"/>
      <c r="R50" s="379"/>
      <c r="S50" s="379"/>
      <c r="T50" s="379"/>
      <c r="U50" s="379"/>
      <c r="V50" s="593" t="s">
        <v>2</v>
      </c>
      <c r="W50" s="594">
        <v>91999913</v>
      </c>
      <c r="X50" s="595" t="s">
        <v>817</v>
      </c>
      <c r="Y50" s="595" t="s">
        <v>819</v>
      </c>
      <c r="Z50" s="596">
        <v>3081</v>
      </c>
      <c r="AA50" s="592">
        <f>'UAT8-Aug'!AA50</f>
        <v>3000000</v>
      </c>
      <c r="AB50" s="595"/>
      <c r="AC50" s="597"/>
      <c r="AD50" s="293"/>
      <c r="AE50" s="293"/>
    </row>
    <row r="51" spans="1:31">
      <c r="A51" s="445" t="s">
        <v>577</v>
      </c>
      <c r="B51" s="332">
        <f>ROUND(MIN(B$124,83600000)*'New Hire'!C59,0)</f>
        <v>0</v>
      </c>
      <c r="C51" s="332">
        <f>ROUND(MIN(C$124,83600000)*'New Hire'!D59,0)</f>
        <v>115600</v>
      </c>
      <c r="D51" s="332">
        <f>ROUND(MIN(D$124,83600000)*'New Hire'!E59,0)</f>
        <v>836000</v>
      </c>
      <c r="E51" s="332">
        <f>ROUND(MIN(E$124,83600000)*'New Hire'!F59,0)</f>
        <v>0</v>
      </c>
      <c r="F51" s="332">
        <f>ROUND(MIN(F$124,83600000)*'New Hire'!G59,0)</f>
        <v>0</v>
      </c>
      <c r="G51" s="332">
        <f>ROUND(MIN(G$124,83600000)*'New Hire'!H59,0)</f>
        <v>0</v>
      </c>
      <c r="H51" s="332">
        <f>ROUND(MIN(H$124,83600000)*'New Hire'!I59,0)</f>
        <v>0</v>
      </c>
      <c r="I51" s="332">
        <f>ROUND(MIN(I$124,83600000)*'New Hire'!J59,0)</f>
        <v>0</v>
      </c>
      <c r="J51" s="332">
        <f>ROUND(MIN(J$124,83600000)*'New Hire'!K59,0)</f>
        <v>750000</v>
      </c>
      <c r="K51" s="332">
        <f>ROUND(MIN(K$124,83600000)*'New Hire'!L59,0)</f>
        <v>0</v>
      </c>
      <c r="L51" s="332">
        <f>ROUND(MIN(L$124,83600000)*'New Hire'!M59,0)</f>
        <v>0</v>
      </c>
      <c r="M51" s="332">
        <f>ROUND(MIN(M$124,83600000)*'New Hire'!N59,0)</f>
        <v>0</v>
      </c>
      <c r="N51" s="332">
        <f>ROUND(MIN(N$124,83600000)*'New Hire'!O59,0)</f>
        <v>0</v>
      </c>
      <c r="O51" s="400">
        <f>ROUND(MIN(O$124,83600000)*'New Hire'!P59,0)</f>
        <v>0</v>
      </c>
      <c r="P51" s="355">
        <f t="shared" si="20"/>
        <v>1701600</v>
      </c>
      <c r="Q51" s="379"/>
      <c r="R51" s="379"/>
      <c r="S51" s="379"/>
      <c r="T51" s="379"/>
      <c r="U51" s="379"/>
      <c r="V51" s="593" t="s">
        <v>2</v>
      </c>
      <c r="W51" s="594">
        <v>91999901</v>
      </c>
      <c r="X51" s="595" t="s">
        <v>818</v>
      </c>
      <c r="Y51" s="595" t="s">
        <v>820</v>
      </c>
      <c r="Z51" s="596" t="s">
        <v>821</v>
      </c>
      <c r="AA51" s="592">
        <f>'UAT8-Aug'!AA51</f>
        <v>3500000</v>
      </c>
      <c r="AB51" s="595"/>
      <c r="AC51" s="597"/>
      <c r="AD51" s="293"/>
      <c r="AE51" s="293"/>
    </row>
    <row r="52" spans="1:31">
      <c r="A52" s="445" t="s">
        <v>578</v>
      </c>
      <c r="B52" s="332">
        <f>ROUND(MIN(B$124,29800000)*'New Hire'!C62,0)</f>
        <v>0</v>
      </c>
      <c r="C52" s="332">
        <f>ROUND(MIN(C$124,29800000)*'New Hire'!D62,0)</f>
        <v>173400</v>
      </c>
      <c r="D52" s="332">
        <f>ROUND(MIN(D$124,29800000)*'New Hire'!E62,0)</f>
        <v>447000</v>
      </c>
      <c r="E52" s="332">
        <f>ROUND(MIN(E$124,29800000)*'New Hire'!F62,0)</f>
        <v>0</v>
      </c>
      <c r="F52" s="332">
        <f>ROUND(MIN(F$124,29800000)*'New Hire'!G62,0)</f>
        <v>0</v>
      </c>
      <c r="G52" s="332">
        <f>ROUND(MIN(G$124,29800000)*'New Hire'!H62,0)</f>
        <v>0</v>
      </c>
      <c r="H52" s="332">
        <f>ROUND(MIN(H$124,29800000)*'New Hire'!I62,0)</f>
        <v>0</v>
      </c>
      <c r="I52" s="332">
        <f>ROUND(MIN(I$124,29800000)*'New Hire'!J62,0)</f>
        <v>447000</v>
      </c>
      <c r="J52" s="332">
        <f>ROUND(MIN(J$124,29800000)*'New Hire'!K62,0)</f>
        <v>447000</v>
      </c>
      <c r="K52" s="332">
        <f>ROUND(MIN(K$124,29800000)*'New Hire'!L62,0)</f>
        <v>0</v>
      </c>
      <c r="L52" s="332">
        <f>ROUND(MIN(L$124,29800000)*'New Hire'!M62,0)</f>
        <v>0</v>
      </c>
      <c r="M52" s="332">
        <f>ROUND(MIN(M$124,29800000)*'New Hire'!N62,0)</f>
        <v>0</v>
      </c>
      <c r="N52" s="332">
        <f>ROUND(MIN(N$124,29800000)*'New Hire'!O62,0)</f>
        <v>0</v>
      </c>
      <c r="O52" s="400">
        <f>ROUND(MIN(O$124,29800000)*'New Hire'!P62,0)</f>
        <v>0</v>
      </c>
      <c r="P52" s="355">
        <f t="shared" si="20"/>
        <v>1514400</v>
      </c>
      <c r="Q52" s="379"/>
      <c r="R52" s="379"/>
      <c r="S52" s="379"/>
      <c r="T52" s="379"/>
      <c r="U52" s="379"/>
      <c r="V52" s="593" t="s">
        <v>2</v>
      </c>
      <c r="W52" s="594">
        <v>91999902</v>
      </c>
      <c r="X52" s="595" t="s">
        <v>818</v>
      </c>
      <c r="Y52" s="595" t="s">
        <v>820</v>
      </c>
      <c r="Z52" s="596" t="s">
        <v>821</v>
      </c>
      <c r="AA52" s="592">
        <f>'UAT8-Aug'!AA52</f>
        <v>3500000</v>
      </c>
      <c r="AB52" s="595"/>
      <c r="AC52" s="597"/>
      <c r="AD52" s="293"/>
      <c r="AE52" s="293"/>
    </row>
    <row r="53" spans="1:31">
      <c r="A53" s="412" t="s">
        <v>111</v>
      </c>
      <c r="B53" s="331">
        <f>B131</f>
        <v>1754618</v>
      </c>
      <c r="C53" s="332">
        <f>C131</f>
        <v>0</v>
      </c>
      <c r="D53" s="332"/>
      <c r="E53" s="332">
        <f t="shared" ref="E53:O53" si="21">E131</f>
        <v>797470</v>
      </c>
      <c r="F53" s="332">
        <f t="shared" si="21"/>
        <v>2715753</v>
      </c>
      <c r="G53" s="332">
        <f t="shared" si="21"/>
        <v>2351250</v>
      </c>
      <c r="H53" s="332">
        <f t="shared" si="21"/>
        <v>21682292</v>
      </c>
      <c r="I53" s="332">
        <f t="shared" si="21"/>
        <v>20072325</v>
      </c>
      <c r="J53" s="332">
        <f t="shared" si="21"/>
        <v>14975700</v>
      </c>
      <c r="K53" s="332">
        <f t="shared" si="21"/>
        <v>4201546</v>
      </c>
      <c r="L53" s="332">
        <f t="shared" si="21"/>
        <v>590035</v>
      </c>
      <c r="M53" s="332">
        <f t="shared" si="21"/>
        <v>95214</v>
      </c>
      <c r="N53" s="332">
        <f t="shared" si="21"/>
        <v>0</v>
      </c>
      <c r="O53" s="400">
        <f t="shared" si="21"/>
        <v>450000</v>
      </c>
      <c r="P53" s="355">
        <f t="shared" si="20"/>
        <v>69686203</v>
      </c>
      <c r="Q53" s="379"/>
      <c r="R53" s="379"/>
      <c r="S53" s="379"/>
      <c r="T53" s="379"/>
      <c r="U53" s="379"/>
      <c r="V53" s="593" t="s">
        <v>2</v>
      </c>
      <c r="W53" s="594">
        <v>91999904</v>
      </c>
      <c r="X53" s="595" t="s">
        <v>817</v>
      </c>
      <c r="Y53" s="595" t="s">
        <v>819</v>
      </c>
      <c r="Z53" s="596" t="s">
        <v>821</v>
      </c>
      <c r="AA53" s="592">
        <f>'UAT8-Aug'!AA53</f>
        <v>3500000</v>
      </c>
      <c r="AB53" s="595"/>
      <c r="AC53" s="597"/>
      <c r="AD53" s="293"/>
      <c r="AE53" s="293"/>
    </row>
    <row r="54" spans="1:31">
      <c r="A54" s="445" t="s">
        <v>514</v>
      </c>
      <c r="B54" s="332">
        <f t="shared" ref="B54:O54" si="22">B117-B43</f>
        <v>0</v>
      </c>
      <c r="C54" s="332">
        <f t="shared" si="22"/>
        <v>0</v>
      </c>
      <c r="D54" s="332">
        <f t="shared" si="22"/>
        <v>0</v>
      </c>
      <c r="E54" s="332">
        <f t="shared" si="22"/>
        <v>0</v>
      </c>
      <c r="F54" s="332">
        <f t="shared" si="22"/>
        <v>0</v>
      </c>
      <c r="G54" s="332">
        <f t="shared" si="22"/>
        <v>0</v>
      </c>
      <c r="H54" s="332">
        <f t="shared" si="22"/>
        <v>328767</v>
      </c>
      <c r="I54" s="332">
        <f t="shared" si="22"/>
        <v>0</v>
      </c>
      <c r="J54" s="332">
        <f t="shared" si="22"/>
        <v>0</v>
      </c>
      <c r="K54" s="332">
        <f t="shared" si="22"/>
        <v>0</v>
      </c>
      <c r="L54" s="332">
        <f t="shared" si="22"/>
        <v>0</v>
      </c>
      <c r="M54" s="332">
        <f t="shared" si="22"/>
        <v>0</v>
      </c>
      <c r="N54" s="332">
        <f t="shared" si="22"/>
        <v>0</v>
      </c>
      <c r="O54" s="400">
        <f t="shared" si="22"/>
        <v>0</v>
      </c>
      <c r="P54" s="355">
        <f t="shared" si="20"/>
        <v>328767</v>
      </c>
      <c r="Q54" s="379"/>
      <c r="R54" s="379"/>
      <c r="S54" s="379"/>
      <c r="T54" s="379"/>
      <c r="U54" s="379"/>
      <c r="V54" s="593" t="s">
        <v>2</v>
      </c>
      <c r="W54" s="594">
        <v>91999905</v>
      </c>
      <c r="X54" s="595" t="s">
        <v>817</v>
      </c>
      <c r="Y54" s="595" t="s">
        <v>819</v>
      </c>
      <c r="Z54" s="596" t="s">
        <v>821</v>
      </c>
      <c r="AA54" s="592">
        <f>'UAT8-Aug'!AA54</f>
        <v>3500000</v>
      </c>
      <c r="AB54" s="595"/>
      <c r="AC54" s="597"/>
      <c r="AD54" s="293"/>
      <c r="AE54" s="293"/>
    </row>
    <row r="55" spans="1:31">
      <c r="A55" s="445" t="s">
        <v>535</v>
      </c>
      <c r="B55" s="332">
        <f>B44</f>
        <v>194778</v>
      </c>
      <c r="C55" s="332">
        <f t="shared" ref="C55:O55" si="23">C44</f>
        <v>389556</v>
      </c>
      <c r="D55" s="332">
        <f t="shared" si="23"/>
        <v>0</v>
      </c>
      <c r="E55" s="332">
        <f t="shared" si="23"/>
        <v>292167</v>
      </c>
      <c r="F55" s="332">
        <f t="shared" si="23"/>
        <v>0</v>
      </c>
      <c r="G55" s="332">
        <f t="shared" si="23"/>
        <v>0</v>
      </c>
      <c r="H55" s="332">
        <f t="shared" si="23"/>
        <v>9408706</v>
      </c>
      <c r="I55" s="332">
        <f t="shared" si="23"/>
        <v>0</v>
      </c>
      <c r="J55" s="332">
        <f t="shared" si="23"/>
        <v>0</v>
      </c>
      <c r="K55" s="332">
        <f t="shared" si="23"/>
        <v>0</v>
      </c>
      <c r="L55" s="332">
        <f t="shared" si="23"/>
        <v>0</v>
      </c>
      <c r="M55" s="332">
        <f t="shared" si="23"/>
        <v>0</v>
      </c>
      <c r="N55" s="332">
        <f t="shared" si="23"/>
        <v>0</v>
      </c>
      <c r="O55" s="400">
        <f t="shared" si="23"/>
        <v>0</v>
      </c>
      <c r="P55" s="346">
        <f t="shared" si="20"/>
        <v>10285207</v>
      </c>
      <c r="Q55" s="379"/>
      <c r="R55" s="379"/>
      <c r="S55" s="379"/>
      <c r="T55" s="379"/>
      <c r="U55" s="379"/>
      <c r="V55" s="593" t="s">
        <v>2</v>
      </c>
      <c r="W55" s="594">
        <v>91999907</v>
      </c>
      <c r="X55" s="595" t="s">
        <v>817</v>
      </c>
      <c r="Y55" s="595" t="s">
        <v>819</v>
      </c>
      <c r="Z55" s="596" t="s">
        <v>821</v>
      </c>
      <c r="AA55" s="592">
        <f>'UAT8-Aug'!AA55</f>
        <v>200</v>
      </c>
      <c r="AB55" s="595" t="s">
        <v>610</v>
      </c>
      <c r="AC55" s="597"/>
      <c r="AD55" s="293"/>
      <c r="AE55" s="293"/>
    </row>
    <row r="56" spans="1:31">
      <c r="A56" s="445" t="s">
        <v>538</v>
      </c>
      <c r="B56" s="332">
        <f>B118</f>
        <v>575342</v>
      </c>
      <c r="C56" s="332">
        <f t="shared" ref="C56:O56" si="24">C118</f>
        <v>575342</v>
      </c>
      <c r="D56" s="332">
        <f t="shared" si="24"/>
        <v>0</v>
      </c>
      <c r="E56" s="332">
        <f t="shared" si="24"/>
        <v>575342</v>
      </c>
      <c r="F56" s="332">
        <f t="shared" si="24"/>
        <v>575342</v>
      </c>
      <c r="G56" s="332">
        <f t="shared" si="24"/>
        <v>0</v>
      </c>
      <c r="H56" s="332">
        <f t="shared" si="24"/>
        <v>575342</v>
      </c>
      <c r="I56" s="332">
        <f t="shared" si="24"/>
        <v>0</v>
      </c>
      <c r="J56" s="332">
        <f t="shared" si="24"/>
        <v>0</v>
      </c>
      <c r="K56" s="332">
        <f t="shared" si="24"/>
        <v>0</v>
      </c>
      <c r="L56" s="332">
        <f t="shared" si="24"/>
        <v>0</v>
      </c>
      <c r="M56" s="332">
        <f t="shared" si="24"/>
        <v>0</v>
      </c>
      <c r="N56" s="332">
        <f t="shared" si="24"/>
        <v>0</v>
      </c>
      <c r="O56" s="400">
        <f t="shared" si="24"/>
        <v>0</v>
      </c>
      <c r="P56" s="355">
        <f t="shared" si="20"/>
        <v>2876710</v>
      </c>
      <c r="Q56" s="379"/>
      <c r="R56" s="379"/>
      <c r="S56" s="347"/>
      <c r="T56" s="347"/>
      <c r="U56" s="347"/>
      <c r="V56" s="593" t="s">
        <v>2</v>
      </c>
      <c r="W56" s="594">
        <v>91999908</v>
      </c>
      <c r="X56" s="595" t="s">
        <v>817</v>
      </c>
      <c r="Y56" s="595" t="s">
        <v>819</v>
      </c>
      <c r="Z56" s="596" t="s">
        <v>821</v>
      </c>
      <c r="AA56" s="592">
        <f>'UAT8-Aug'!AA56</f>
        <v>200</v>
      </c>
      <c r="AB56" s="595" t="s">
        <v>610</v>
      </c>
      <c r="AC56" s="597"/>
      <c r="AD56" s="293"/>
      <c r="AE56" s="293"/>
    </row>
    <row r="57" spans="1:31">
      <c r="A57" s="445" t="s">
        <v>539</v>
      </c>
      <c r="B57" s="332">
        <f>IF(OR(B19="A",B19="B"),0,ROUND(ROUND(297.1*$B$4,0)/365*B17,0))*B20</f>
        <v>0</v>
      </c>
      <c r="C57" s="332">
        <f t="shared" ref="C57:O57" si="25">IF(OR(C19="A",C19="B"),0,ROUND(ROUND(297.1*$B$4,0)/365*C17,0))*C20</f>
        <v>0</v>
      </c>
      <c r="D57" s="332">
        <f t="shared" si="25"/>
        <v>0</v>
      </c>
      <c r="E57" s="332">
        <f t="shared" si="25"/>
        <v>0</v>
      </c>
      <c r="F57" s="332">
        <f t="shared" si="25"/>
        <v>0</v>
      </c>
      <c r="G57" s="332">
        <f t="shared" si="25"/>
        <v>0</v>
      </c>
      <c r="H57" s="332">
        <f t="shared" si="25"/>
        <v>1133294</v>
      </c>
      <c r="I57" s="332">
        <f t="shared" si="25"/>
        <v>0</v>
      </c>
      <c r="J57" s="332">
        <f t="shared" si="25"/>
        <v>0</v>
      </c>
      <c r="K57" s="332">
        <f t="shared" si="25"/>
        <v>0</v>
      </c>
      <c r="L57" s="332">
        <f t="shared" si="25"/>
        <v>0</v>
      </c>
      <c r="M57" s="332">
        <f t="shared" si="25"/>
        <v>0</v>
      </c>
      <c r="N57" s="332">
        <f t="shared" si="25"/>
        <v>0</v>
      </c>
      <c r="O57" s="332">
        <f t="shared" si="25"/>
        <v>0</v>
      </c>
      <c r="P57" s="346">
        <f t="shared" si="20"/>
        <v>1133294</v>
      </c>
      <c r="Q57" s="341"/>
      <c r="R57" s="341"/>
      <c r="S57" s="341"/>
      <c r="T57" s="341"/>
      <c r="U57" s="341"/>
      <c r="V57" s="593" t="s">
        <v>2</v>
      </c>
      <c r="W57" s="594">
        <v>91999909</v>
      </c>
      <c r="X57" s="595" t="s">
        <v>817</v>
      </c>
      <c r="Y57" s="595" t="s">
        <v>819</v>
      </c>
      <c r="Z57" s="596" t="s">
        <v>821</v>
      </c>
      <c r="AA57" s="592">
        <f>'UAT8-Aug'!AA57</f>
        <v>3500000</v>
      </c>
      <c r="AB57" s="595"/>
      <c r="AC57" s="597"/>
      <c r="AD57" s="293"/>
      <c r="AE57" s="293"/>
    </row>
    <row r="58" spans="1:31">
      <c r="A58" s="412"/>
      <c r="B58" s="371"/>
      <c r="C58" s="372"/>
      <c r="D58" s="372"/>
      <c r="E58" s="373"/>
      <c r="F58" s="372"/>
      <c r="G58" s="372"/>
      <c r="H58" s="372"/>
      <c r="I58" s="372"/>
      <c r="J58" s="372"/>
      <c r="K58" s="373"/>
      <c r="L58" s="373"/>
      <c r="M58" s="373"/>
      <c r="N58" s="373"/>
      <c r="O58" s="403"/>
      <c r="P58" s="355"/>
      <c r="Q58" s="379"/>
      <c r="R58" s="379"/>
      <c r="S58" s="379"/>
      <c r="T58" s="379"/>
      <c r="U58" s="379"/>
      <c r="V58" s="593" t="s">
        <v>2</v>
      </c>
      <c r="W58" s="594">
        <v>91999910</v>
      </c>
      <c r="X58" s="595" t="s">
        <v>817</v>
      </c>
      <c r="Y58" s="595" t="s">
        <v>819</v>
      </c>
      <c r="Z58" s="596" t="s">
        <v>821</v>
      </c>
      <c r="AA58" s="592">
        <f>'UAT8-Aug'!AA58</f>
        <v>3500000</v>
      </c>
      <c r="AB58" s="598"/>
      <c r="AC58" s="599"/>
      <c r="AD58" s="293"/>
      <c r="AE58" s="293"/>
    </row>
    <row r="59" spans="1:31">
      <c r="A59" s="420" t="s">
        <v>4</v>
      </c>
      <c r="B59" s="365">
        <f t="shared" ref="B59:O59" si="26">SUM(B50:B58)</f>
        <v>2524738</v>
      </c>
      <c r="C59" s="366">
        <f t="shared" si="26"/>
        <v>2178698</v>
      </c>
      <c r="D59" s="366">
        <f t="shared" si="26"/>
        <v>1283000</v>
      </c>
      <c r="E59" s="366">
        <f t="shared" si="26"/>
        <v>1664979</v>
      </c>
      <c r="F59" s="366">
        <f t="shared" si="26"/>
        <v>3291095</v>
      </c>
      <c r="G59" s="366">
        <f t="shared" si="26"/>
        <v>2351250</v>
      </c>
      <c r="H59" s="366">
        <f t="shared" si="26"/>
        <v>33128401</v>
      </c>
      <c r="I59" s="366">
        <f t="shared" si="26"/>
        <v>20519325</v>
      </c>
      <c r="J59" s="366">
        <f t="shared" si="26"/>
        <v>18556700</v>
      </c>
      <c r="K59" s="366">
        <f t="shared" si="26"/>
        <v>4201546</v>
      </c>
      <c r="L59" s="366">
        <f t="shared" si="26"/>
        <v>590035</v>
      </c>
      <c r="M59" s="366">
        <f t="shared" si="26"/>
        <v>95214</v>
      </c>
      <c r="N59" s="495">
        <f t="shared" si="26"/>
        <v>0</v>
      </c>
      <c r="O59" s="496">
        <f t="shared" si="26"/>
        <v>450000</v>
      </c>
      <c r="P59" s="355">
        <f>SUM(B59:O59)</f>
        <v>90834981</v>
      </c>
      <c r="Q59" s="379"/>
      <c r="R59" s="379"/>
      <c r="S59" s="379"/>
      <c r="T59" s="379"/>
      <c r="U59" s="379"/>
      <c r="V59" s="593" t="s">
        <v>2</v>
      </c>
      <c r="W59" s="594">
        <v>91999911</v>
      </c>
      <c r="X59" s="595" t="s">
        <v>817</v>
      </c>
      <c r="Y59" s="595" t="s">
        <v>819</v>
      </c>
      <c r="Z59" s="596" t="s">
        <v>821</v>
      </c>
      <c r="AA59" s="592">
        <f>'UAT8-Aug'!AA59</f>
        <v>3500000</v>
      </c>
      <c r="AB59" s="598"/>
      <c r="AC59" s="599"/>
      <c r="AD59" s="293"/>
      <c r="AE59" s="293"/>
    </row>
    <row r="60" spans="1:31">
      <c r="A60" s="421"/>
      <c r="B60" s="331"/>
      <c r="C60" s="332"/>
      <c r="D60" s="332"/>
      <c r="E60" s="340"/>
      <c r="F60" s="332"/>
      <c r="G60" s="332"/>
      <c r="H60" s="332"/>
      <c r="I60" s="332"/>
      <c r="J60" s="332"/>
      <c r="K60" s="340"/>
      <c r="L60" s="340"/>
      <c r="M60" s="340"/>
      <c r="N60" s="340"/>
      <c r="O60" s="401"/>
      <c r="P60" s="355"/>
      <c r="Q60" s="379"/>
      <c r="R60" s="379"/>
      <c r="S60" s="379"/>
      <c r="T60" s="379"/>
      <c r="U60" s="379"/>
      <c r="V60" s="593" t="s">
        <v>2</v>
      </c>
      <c r="W60" s="594">
        <v>91999912</v>
      </c>
      <c r="X60" s="595" t="s">
        <v>817</v>
      </c>
      <c r="Y60" s="595" t="s">
        <v>819</v>
      </c>
      <c r="Z60" s="596" t="s">
        <v>821</v>
      </c>
      <c r="AA60" s="592">
        <f>'UAT8-Aug'!AA60</f>
        <v>3500000</v>
      </c>
      <c r="AB60" s="598"/>
      <c r="AC60" s="599"/>
      <c r="AD60" s="293"/>
      <c r="AE60" s="293"/>
    </row>
    <row r="61" spans="1:31" ht="14.4" thickBot="1">
      <c r="A61" s="417" t="s">
        <v>5</v>
      </c>
      <c r="B61" s="333">
        <f t="shared" ref="B61:O61" si="27">B46-B59</f>
        <v>29150405</v>
      </c>
      <c r="C61" s="334">
        <f t="shared" si="27"/>
        <v>17532894</v>
      </c>
      <c r="D61" s="334">
        <f t="shared" si="27"/>
        <v>-1283000</v>
      </c>
      <c r="E61" s="334">
        <f t="shared" si="27"/>
        <v>8590021</v>
      </c>
      <c r="F61" s="334">
        <f t="shared" si="27"/>
        <v>26438905</v>
      </c>
      <c r="G61" s="334">
        <f t="shared" si="27"/>
        <v>26655000</v>
      </c>
      <c r="H61" s="334">
        <f t="shared" si="27"/>
        <v>65545586</v>
      </c>
      <c r="I61" s="334">
        <f t="shared" si="27"/>
        <v>79842300</v>
      </c>
      <c r="J61" s="334">
        <f t="shared" si="27"/>
        <v>66673300</v>
      </c>
      <c r="K61" s="334">
        <f t="shared" si="27"/>
        <v>37286182</v>
      </c>
      <c r="L61" s="334">
        <f t="shared" si="27"/>
        <v>20040318</v>
      </c>
      <c r="M61" s="334">
        <f t="shared" si="27"/>
        <v>15250610</v>
      </c>
      <c r="N61" s="334">
        <f t="shared" si="27"/>
        <v>4458199</v>
      </c>
      <c r="O61" s="404">
        <f t="shared" si="27"/>
        <v>4050000</v>
      </c>
      <c r="P61" s="355">
        <f>SUM(B61:O61)</f>
        <v>400230720</v>
      </c>
      <c r="Q61" s="379"/>
      <c r="R61" s="379"/>
      <c r="S61" s="379"/>
      <c r="T61" s="379"/>
      <c r="U61" s="379"/>
      <c r="V61" s="593" t="s">
        <v>2</v>
      </c>
      <c r="W61" s="594">
        <v>91999913</v>
      </c>
      <c r="X61" s="595" t="s">
        <v>817</v>
      </c>
      <c r="Y61" s="595" t="s">
        <v>819</v>
      </c>
      <c r="Z61" s="596" t="s">
        <v>821</v>
      </c>
      <c r="AA61" s="592">
        <f>'UAT8-Aug'!AA61</f>
        <v>3500000</v>
      </c>
      <c r="AB61" s="598"/>
      <c r="AC61" s="599"/>
      <c r="AD61" s="293"/>
      <c r="AE61" s="293"/>
    </row>
    <row r="62" spans="1:31" ht="14.4" thickTop="1">
      <c r="A62" s="422"/>
      <c r="B62" s="331"/>
      <c r="C62" s="332"/>
      <c r="D62" s="332"/>
      <c r="E62" s="340"/>
      <c r="F62" s="332"/>
      <c r="G62" s="332"/>
      <c r="H62" s="332"/>
      <c r="I62" s="332"/>
      <c r="J62" s="332"/>
      <c r="K62" s="340"/>
      <c r="L62" s="340"/>
      <c r="M62" s="340"/>
      <c r="N62" s="340"/>
      <c r="O62" s="401"/>
      <c r="P62" s="355"/>
      <c r="Q62" s="379"/>
      <c r="R62" s="379"/>
      <c r="S62" s="379"/>
      <c r="T62" s="379"/>
      <c r="U62" s="379"/>
      <c r="V62" s="593" t="s">
        <v>2</v>
      </c>
      <c r="W62" s="594">
        <v>91999901</v>
      </c>
      <c r="X62" s="595" t="s">
        <v>818</v>
      </c>
      <c r="Y62" s="595" t="s">
        <v>820</v>
      </c>
      <c r="Z62" s="596">
        <v>3210</v>
      </c>
      <c r="AA62" s="592">
        <f>'UAT8-Aug'!AA62</f>
        <v>4000000</v>
      </c>
      <c r="AB62" s="595"/>
      <c r="AC62" s="597"/>
    </row>
    <row r="63" spans="1:31" ht="15.6">
      <c r="A63" s="411" t="s">
        <v>62</v>
      </c>
      <c r="B63" s="374"/>
      <c r="C63" s="405"/>
      <c r="D63" s="405"/>
      <c r="E63" s="370"/>
      <c r="F63" s="405"/>
      <c r="G63" s="405"/>
      <c r="H63" s="406"/>
      <c r="I63" s="405"/>
      <c r="J63" s="405"/>
      <c r="K63" s="370"/>
      <c r="L63" s="370"/>
      <c r="M63" s="370"/>
      <c r="N63" s="370"/>
      <c r="O63" s="383"/>
      <c r="P63" s="383"/>
      <c r="Q63" s="379"/>
      <c r="R63" s="379"/>
      <c r="S63" s="379"/>
      <c r="T63" s="379"/>
      <c r="U63" s="379"/>
      <c r="V63" s="593" t="s">
        <v>2</v>
      </c>
      <c r="W63" s="594">
        <v>91999902</v>
      </c>
      <c r="X63" s="595" t="s">
        <v>818</v>
      </c>
      <c r="Y63" s="595" t="s">
        <v>820</v>
      </c>
      <c r="Z63" s="596">
        <v>3210</v>
      </c>
      <c r="AA63" s="592">
        <f>'UAT8-Aug'!AA63</f>
        <v>4000000</v>
      </c>
      <c r="AB63" s="595"/>
      <c r="AC63" s="597"/>
    </row>
    <row r="64" spans="1:31">
      <c r="A64" s="424" t="s">
        <v>573</v>
      </c>
      <c r="B64" s="332">
        <f>ROUND(MIN(B$124,29800000)*'New Hire'!C57,0)</f>
        <v>0</v>
      </c>
      <c r="C64" s="332">
        <f>ROUND(MIN(C$124,29800000)*'New Hire'!D57,0)</f>
        <v>2023000</v>
      </c>
      <c r="D64" s="332">
        <f>ROUND(MIN(D$124,29800000)*'New Hire'!E57,0)</f>
        <v>149000</v>
      </c>
      <c r="E64" s="332">
        <f>ROUND(MIN(E$124,29800000)*'New Hire'!F57,0)</f>
        <v>0</v>
      </c>
      <c r="F64" s="332">
        <f>ROUND(MIN(F$124,29800000)*'New Hire'!G57,0)</f>
        <v>0</v>
      </c>
      <c r="G64" s="332">
        <f>ROUND(MIN(G$124,29800000)*'New Hire'!H57,0)</f>
        <v>0</v>
      </c>
      <c r="H64" s="332">
        <f>ROUND(MIN(H$124,29800000)*'New Hire'!I57,0)</f>
        <v>0</v>
      </c>
      <c r="I64" s="332">
        <f>ROUND(MIN(I$124,29800000)*'New Hire'!J57,0)</f>
        <v>149000</v>
      </c>
      <c r="J64" s="332">
        <f>ROUND(MIN(J$124,29800000)*'New Hire'!K57,0)</f>
        <v>5066000</v>
      </c>
      <c r="K64" s="332">
        <f>ROUND(MIN(K$124,29800000)*'New Hire'!L57,0)</f>
        <v>0</v>
      </c>
      <c r="L64" s="332">
        <f>ROUND(MIN(L$124,29800000)*'New Hire'!M57,0)</f>
        <v>0</v>
      </c>
      <c r="M64" s="332">
        <f>ROUND(MIN(M$124,29800000)*'New Hire'!N57,0)</f>
        <v>0</v>
      </c>
      <c r="N64" s="332">
        <f>ROUND(MIN(N$124,29800000)*'New Hire'!O57,0)</f>
        <v>0</v>
      </c>
      <c r="O64" s="332">
        <f>ROUND(MIN(O$124,29800000)*'New Hire'!P57,0)</f>
        <v>0</v>
      </c>
      <c r="P64" s="346">
        <f>SUM(B64:O64)</f>
        <v>7387000</v>
      </c>
      <c r="Q64" s="379"/>
      <c r="R64" s="379"/>
      <c r="S64" s="379"/>
      <c r="T64" s="379"/>
      <c r="U64" s="379"/>
      <c r="V64" s="593" t="s">
        <v>2</v>
      </c>
      <c r="W64" s="594">
        <v>91999904</v>
      </c>
      <c r="X64" s="595" t="s">
        <v>817</v>
      </c>
      <c r="Y64" s="595" t="s">
        <v>819</v>
      </c>
      <c r="Z64" s="596">
        <v>3210</v>
      </c>
      <c r="AA64" s="592">
        <f>'UAT8-Aug'!AA64</f>
        <v>4000000</v>
      </c>
      <c r="AB64" s="595"/>
      <c r="AC64" s="597"/>
    </row>
    <row r="65" spans="1:31">
      <c r="A65" s="445" t="s">
        <v>574</v>
      </c>
      <c r="B65" s="332">
        <f>ROUND(MIN(B$124,83600000)*'New Hire'!C60,0)</f>
        <v>0</v>
      </c>
      <c r="C65" s="332">
        <f>ROUND(MIN(C$124,83600000)*'New Hire'!D60,0)</f>
        <v>115600</v>
      </c>
      <c r="D65" s="332">
        <f>ROUND(MIN(D$124,83600000)*'New Hire'!E60,0)</f>
        <v>836000</v>
      </c>
      <c r="E65" s="332">
        <f>ROUND(MIN(E$124,83600000)*'New Hire'!F60,0)</f>
        <v>0</v>
      </c>
      <c r="F65" s="332">
        <f>ROUND(MIN(F$124,83600000)*'New Hire'!G60,0)</f>
        <v>0</v>
      </c>
      <c r="G65" s="332">
        <f>ROUND(MIN(G$124,83600000)*'New Hire'!H60,0)</f>
        <v>0</v>
      </c>
      <c r="H65" s="332">
        <f>ROUND(MIN(H$124,83600000)*'New Hire'!I60,0)</f>
        <v>0</v>
      </c>
      <c r="I65" s="332">
        <f>ROUND(MIN(I$124,83600000)*'New Hire'!J60,0)</f>
        <v>0</v>
      </c>
      <c r="J65" s="332">
        <f>ROUND(MIN(J$124,83600000)*'New Hire'!K60,0)</f>
        <v>750000</v>
      </c>
      <c r="K65" s="332">
        <f>ROUND(MIN(K$124,83600000)*'New Hire'!L60,0)</f>
        <v>0</v>
      </c>
      <c r="L65" s="332">
        <f>ROUND(MIN(L$124,83600000)*'New Hire'!M60,0)</f>
        <v>0</v>
      </c>
      <c r="M65" s="332">
        <f>ROUND(MIN(M$124,83600000)*'New Hire'!N60,0)</f>
        <v>0</v>
      </c>
      <c r="N65" s="332">
        <f>ROUND(MIN(N$124,83600000)*'New Hire'!O60,0)</f>
        <v>0</v>
      </c>
      <c r="O65" s="332">
        <f>ROUND(MIN(O$124,83600000)*'New Hire'!P60,0)</f>
        <v>0</v>
      </c>
      <c r="P65" s="346">
        <f>SUM(B65:O65)</f>
        <v>1701600</v>
      </c>
      <c r="Q65" s="379"/>
      <c r="R65" s="379"/>
      <c r="S65" s="379"/>
      <c r="T65" s="379"/>
      <c r="U65" s="379"/>
      <c r="V65" s="593" t="s">
        <v>2</v>
      </c>
      <c r="W65" s="594">
        <v>91999905</v>
      </c>
      <c r="X65" s="595" t="s">
        <v>817</v>
      </c>
      <c r="Y65" s="595" t="s">
        <v>819</v>
      </c>
      <c r="Z65" s="596">
        <v>3210</v>
      </c>
      <c r="AA65" s="592">
        <f>'UAT8-Aug'!AA65</f>
        <v>4000000</v>
      </c>
      <c r="AB65" s="595"/>
      <c r="AC65" s="597"/>
    </row>
    <row r="66" spans="1:31">
      <c r="A66" s="445" t="s">
        <v>575</v>
      </c>
      <c r="B66" s="332">
        <f>ROUND(MIN(B$124,29800000)*'New Hire'!C63,0)</f>
        <v>0</v>
      </c>
      <c r="C66" s="332">
        <f>ROUND(MIN(C$124,29800000)*'New Hire'!D63,0)</f>
        <v>346800</v>
      </c>
      <c r="D66" s="332">
        <f>ROUND(MIN(D$124,29800000)*'New Hire'!E63,0)</f>
        <v>894000</v>
      </c>
      <c r="E66" s="332">
        <f>ROUND(MIN(E$124,29800000)*'New Hire'!F63,0)</f>
        <v>0</v>
      </c>
      <c r="F66" s="332">
        <f>ROUND(MIN(F$124,29800000)*'New Hire'!G63,0)</f>
        <v>0</v>
      </c>
      <c r="G66" s="332">
        <f>ROUND(MIN(G$124,29800000)*'New Hire'!H63,0)</f>
        <v>0</v>
      </c>
      <c r="H66" s="332">
        <f>ROUND(MIN(H$124,29800000)*'New Hire'!I63,0)</f>
        <v>0</v>
      </c>
      <c r="I66" s="332">
        <f>ROUND(MIN(I$124,29800000)*'New Hire'!J63,0)</f>
        <v>894000</v>
      </c>
      <c r="J66" s="332">
        <f>ROUND(MIN(J$124,29800000)*'New Hire'!K63,0)</f>
        <v>894000</v>
      </c>
      <c r="K66" s="332">
        <f>ROUND(MIN(K$124,29800000)*'New Hire'!L63,0)</f>
        <v>0</v>
      </c>
      <c r="L66" s="332">
        <f>ROUND(MIN(L$124,29800000)*'New Hire'!M63,0)</f>
        <v>0</v>
      </c>
      <c r="M66" s="332">
        <f>ROUND(MIN(M$124,29800000)*'New Hire'!N63,0)</f>
        <v>0</v>
      </c>
      <c r="N66" s="332">
        <f>ROUND(MIN(N$124,29800000)*'New Hire'!O63,0)</f>
        <v>0</v>
      </c>
      <c r="O66" s="332">
        <f>ROUND(MIN(O$124,29800000)*'New Hire'!P63,0)</f>
        <v>0</v>
      </c>
      <c r="P66" s="346">
        <f>SUM(B66:O66)</f>
        <v>3028800</v>
      </c>
      <c r="Q66" s="341"/>
      <c r="R66" s="341"/>
      <c r="S66" s="341"/>
      <c r="T66" s="341"/>
      <c r="U66" s="341"/>
      <c r="V66" s="593" t="s">
        <v>2</v>
      </c>
      <c r="W66" s="594">
        <v>91999907</v>
      </c>
      <c r="X66" s="595" t="s">
        <v>817</v>
      </c>
      <c r="Y66" s="595" t="s">
        <v>819</v>
      </c>
      <c r="Z66" s="596">
        <v>3210</v>
      </c>
      <c r="AA66" s="592">
        <f>'UAT8-Aug'!AA66</f>
        <v>225</v>
      </c>
      <c r="AB66" s="595" t="s">
        <v>610</v>
      </c>
      <c r="AC66" s="597"/>
    </row>
    <row r="67" spans="1:31">
      <c r="A67" s="445" t="s">
        <v>1131</v>
      </c>
      <c r="B67" s="332">
        <f>ROUND(MIN(B124,29800000)*2%,0)</f>
        <v>0</v>
      </c>
      <c r="C67" s="332">
        <f>ROUND(MIN(C124,29800000)*2%,0)</f>
        <v>231200</v>
      </c>
      <c r="D67" s="332"/>
      <c r="E67" s="332">
        <f t="shared" ref="E67:O67" si="28">ROUND(MIN(E124,29800000)*2%,0)</f>
        <v>0</v>
      </c>
      <c r="F67" s="332">
        <f t="shared" si="28"/>
        <v>390000</v>
      </c>
      <c r="G67" s="332">
        <f t="shared" si="28"/>
        <v>0</v>
      </c>
      <c r="H67" s="332">
        <f t="shared" si="28"/>
        <v>0</v>
      </c>
      <c r="I67" s="332">
        <f t="shared" si="28"/>
        <v>596000</v>
      </c>
      <c r="J67" s="332">
        <f t="shared" si="28"/>
        <v>596000</v>
      </c>
      <c r="K67" s="332">
        <f t="shared" si="28"/>
        <v>330000</v>
      </c>
      <c r="L67" s="332">
        <f t="shared" si="28"/>
        <v>0</v>
      </c>
      <c r="M67" s="332">
        <f t="shared" si="28"/>
        <v>0</v>
      </c>
      <c r="N67" s="332">
        <f t="shared" si="28"/>
        <v>0</v>
      </c>
      <c r="O67" s="400">
        <f t="shared" si="28"/>
        <v>0</v>
      </c>
      <c r="P67" s="355">
        <f t="shared" ref="P67" si="29">SUM(B67:O67)-J67</f>
        <v>1547200</v>
      </c>
      <c r="Q67" s="379"/>
      <c r="R67" s="379"/>
      <c r="S67" s="379"/>
      <c r="T67" s="379"/>
      <c r="U67" s="379"/>
      <c r="V67" s="593" t="s">
        <v>2</v>
      </c>
      <c r="W67" s="594">
        <v>91999908</v>
      </c>
      <c r="X67" s="595" t="s">
        <v>817</v>
      </c>
      <c r="Y67" s="595" t="s">
        <v>819</v>
      </c>
      <c r="Z67" s="596">
        <v>3210</v>
      </c>
      <c r="AA67" s="592">
        <f>'UAT8-Aug'!AA67</f>
        <v>225</v>
      </c>
      <c r="AB67" s="595" t="s">
        <v>610</v>
      </c>
      <c r="AC67" s="597"/>
    </row>
    <row r="68" spans="1:31">
      <c r="A68" s="412"/>
      <c r="B68" s="331"/>
      <c r="C68" s="332"/>
      <c r="D68" s="332"/>
      <c r="E68" s="340"/>
      <c r="F68" s="332"/>
      <c r="G68" s="332"/>
      <c r="H68" s="332"/>
      <c r="I68" s="332"/>
      <c r="J68" s="332"/>
      <c r="K68" s="340"/>
      <c r="L68" s="340"/>
      <c r="M68" s="340"/>
      <c r="N68" s="340"/>
      <c r="O68" s="401"/>
      <c r="P68" s="346"/>
      <c r="Q68" s="341"/>
      <c r="R68" s="341"/>
      <c r="S68" s="341"/>
      <c r="T68" s="341"/>
      <c r="U68" s="341"/>
      <c r="V68" s="593" t="s">
        <v>2</v>
      </c>
      <c r="W68" s="594">
        <v>91999909</v>
      </c>
      <c r="X68" s="595" t="s">
        <v>817</v>
      </c>
      <c r="Y68" s="595" t="s">
        <v>819</v>
      </c>
      <c r="Z68" s="596">
        <v>3210</v>
      </c>
      <c r="AA68" s="592">
        <f>'UAT8-Aug'!AA68</f>
        <v>4000000</v>
      </c>
      <c r="AB68" s="595"/>
      <c r="AC68" s="597"/>
    </row>
    <row r="69" spans="1:31" ht="15.6">
      <c r="A69" s="411" t="s">
        <v>475</v>
      </c>
      <c r="B69" s="331"/>
      <c r="C69" s="332"/>
      <c r="D69" s="332"/>
      <c r="E69" s="340"/>
      <c r="F69" s="332"/>
      <c r="G69" s="332"/>
      <c r="H69" s="332"/>
      <c r="I69" s="332"/>
      <c r="J69" s="332"/>
      <c r="K69" s="340"/>
      <c r="L69" s="340"/>
      <c r="M69" s="340"/>
      <c r="N69" s="340"/>
      <c r="O69" s="401"/>
      <c r="P69" s="346"/>
      <c r="Q69" s="341"/>
      <c r="R69" s="341"/>
      <c r="S69" s="341"/>
      <c r="T69" s="341"/>
      <c r="U69" s="341"/>
      <c r="V69" s="593" t="s">
        <v>2</v>
      </c>
      <c r="W69" s="594">
        <v>91999910</v>
      </c>
      <c r="X69" s="595" t="s">
        <v>817</v>
      </c>
      <c r="Y69" s="595" t="s">
        <v>819</v>
      </c>
      <c r="Z69" s="596">
        <v>3210</v>
      </c>
      <c r="AA69" s="592">
        <f>'UAT8-Aug'!AA69</f>
        <v>4000000</v>
      </c>
      <c r="AB69" s="598"/>
      <c r="AC69" s="599"/>
    </row>
    <row r="70" spans="1:31">
      <c r="A70" s="445" t="s">
        <v>476</v>
      </c>
      <c r="B70" s="332">
        <f>IF(OR(B11="1",B11="P"),ROUND(B165*B115,0),0)+'UAT8-Aug'!B65</f>
        <v>4252254</v>
      </c>
      <c r="C70" s="332">
        <f>IF(OR(C11="1",C11="P"),ROUND(C165*C115,0),0)+'UAT8-Aug'!C65</f>
        <v>3500296</v>
      </c>
      <c r="D70" s="332">
        <f>IF(OR(D11="1",D11="P"),ROUND(D165*D115,0),0)+'UAT8-Aug'!D65</f>
        <v>0</v>
      </c>
      <c r="E70" s="332">
        <f>IF(OR(E11="1",E11="P"),ROUND(E165*E115,0),0)+'UAT8-Aug'!E65</f>
        <v>3547893</v>
      </c>
      <c r="F70" s="332">
        <f>IF(OR(F11="1",F11="P"),ROUND(F165*F115,0),0)+'UAT8-Aug'!F65</f>
        <v>0</v>
      </c>
      <c r="G70" s="332">
        <f>IF(OR(G11="1",G11="P"),ROUND(G165*G115,0),0)+'UAT8-Aug'!G65</f>
        <v>0</v>
      </c>
      <c r="H70" s="332">
        <f>IF(OR(H11="1",H11="P"),ROUND(H165*H115,0),0)+'UAT8-Aug'!H65</f>
        <v>0</v>
      </c>
      <c r="I70" s="332">
        <f>IF(OR(I11="1",I11="P"),ROUND(I165*I115,0),0)+'UAT8-Aug'!I65</f>
        <v>0</v>
      </c>
      <c r="J70" s="332">
        <f>IF(OR(J11="1",J11="P"),ROUND(J165*J115,0),0)+'UAT8-Aug'!J65</f>
        <v>32963947</v>
      </c>
      <c r="K70" s="332">
        <f>IF(OR(K11="1",K11="P"),ROUND(K165*K115,0),0)+'UAT8-Aug'!K65</f>
        <v>6584452</v>
      </c>
      <c r="L70" s="332">
        <f>IF(OR(L11="1",L11="P"),ROUND(L165*L115,0),0)+'UAT8-Aug'!L65</f>
        <v>41226406</v>
      </c>
      <c r="M70" s="332">
        <f>IF(OR(M11="1",M11="P"),ROUND(M165*M115,0),0)+'UAT8-Aug'!M65</f>
        <v>0</v>
      </c>
      <c r="N70" s="332">
        <f>IF(OR(N11="1",N11="P"),ROUND(N165*N115,0),0)+'UAT8-Aug'!N65</f>
        <v>0</v>
      </c>
      <c r="O70" s="332">
        <f>IF(OR(O11="1",O11="P"),ROUND(O165*O115,0),0)+'UAT8-Aug'!O65</f>
        <v>1517242</v>
      </c>
      <c r="P70" s="346">
        <f>SUM(B70:O70)</f>
        <v>93592490</v>
      </c>
      <c r="Q70" s="481"/>
      <c r="R70" s="481"/>
      <c r="S70" s="379"/>
      <c r="T70" s="379"/>
      <c r="U70" s="379"/>
      <c r="V70" s="593" t="s">
        <v>2</v>
      </c>
      <c r="W70" s="594">
        <v>91999911</v>
      </c>
      <c r="X70" s="595" t="s">
        <v>817</v>
      </c>
      <c r="Y70" s="595" t="s">
        <v>819</v>
      </c>
      <c r="Z70" s="596">
        <v>3210</v>
      </c>
      <c r="AA70" s="592">
        <f>'UAT8-Aug'!AA70</f>
        <v>4000000</v>
      </c>
      <c r="AB70" s="598"/>
      <c r="AC70" s="599"/>
    </row>
    <row r="71" spans="1:31">
      <c r="A71" s="445" t="s">
        <v>484</v>
      </c>
      <c r="B71" s="617">
        <f>IF('New Hire'!C41&lt;'New Hire'!$Q$40,CEILING((NETWORKDAYS('New Hire'!C41,'New Hire'!$Q$40)+B181)/261,0.5),CEILING(B181/261,0.5))</f>
        <v>0</v>
      </c>
      <c r="C71" s="617">
        <f>IF('New Hire'!D41&lt;'New Hire'!$Q$40,CEILING((NETWORKDAYS('New Hire'!D41,'New Hire'!$Q$40)+C181)/261,0.5),CEILING(C181/261,0.5))</f>
        <v>3</v>
      </c>
      <c r="D71" s="617"/>
      <c r="E71" s="617">
        <f>IF('New Hire'!F41&lt;'New Hire'!$Q$40,CEILING((NETWORKDAYS('New Hire'!F41,'New Hire'!$Q$40)+E181)/261,0.5),CEILING(E181/261,0.5))</f>
        <v>0.5</v>
      </c>
      <c r="F71" s="617">
        <f>IF('New Hire'!G41&lt;'New Hire'!$Q$40,CEILING((NETWORKDAYS('New Hire'!G41,'New Hire'!$Q$40)+F181)/261,0.5),CEILING(F181/261,0.5))</f>
        <v>0</v>
      </c>
      <c r="G71" s="617">
        <f>IF('New Hire'!H41&lt;'New Hire'!$Q$40,CEILING((NETWORKDAYS('New Hire'!H41,'New Hire'!$Q$40)+G181)/261,0.5),CEILING(G181/261,0.5))</f>
        <v>0</v>
      </c>
      <c r="H71" s="617">
        <f>IF('New Hire'!I41&lt;'New Hire'!$Q$40,CEILING((NETWORKDAYS('New Hire'!I41,'New Hire'!$Q$40)+H181)/261,0.5),CEILING(H181/261,0.5))</f>
        <v>4.5</v>
      </c>
      <c r="I71" s="617">
        <f>IF('New Hire'!J41&lt;'New Hire'!$Q$40,CEILING((NETWORKDAYS('New Hire'!J41,'New Hire'!$Q$40)+I181)/261,0.5),CEILING(I181/261,0.5))</f>
        <v>0</v>
      </c>
      <c r="J71" s="617">
        <f>IF('New Hire'!K41&lt;'New Hire'!$Q$40,CEILING((NETWORKDAYS('New Hire'!K41,'New Hire'!$Q$40)+J181)/261,0.5),CEILING(J181/261,0.5))</f>
        <v>0</v>
      </c>
      <c r="K71" s="617">
        <f>IF('New Hire'!L41&lt;'New Hire'!$Q$40,CEILING((NETWORKDAYS('New Hire'!L41,'New Hire'!$Q$40)+K181)/261,0.5),CEILING(K181/261,0.5))</f>
        <v>0</v>
      </c>
      <c r="L71" s="617">
        <f>IF('New Hire'!M41&lt;'New Hire'!$Q$40,CEILING((NETWORKDAYS('New Hire'!M41,'New Hire'!$Q$40)+L181)/261,0.5),CEILING(L181/261,0.5))</f>
        <v>0</v>
      </c>
      <c r="M71" s="617">
        <f>IF('New Hire'!N41&lt;'New Hire'!$Q$40,CEILING((NETWORKDAYS('New Hire'!N41,'New Hire'!$Q$40)+M181)/261,0.5),CEILING(M181/261,0.5))</f>
        <v>0</v>
      </c>
      <c r="N71" s="617">
        <f>IF('New Hire'!O41&lt;'New Hire'!$Q$40,CEILING((NETWORKDAYS('New Hire'!O41,'New Hire'!$Q$40)+N181)/261,0.5),CEILING(N181/261,0.5))</f>
        <v>1.5</v>
      </c>
      <c r="O71" s="619">
        <f>IF('New Hire'!P41&lt;'New Hire'!$Q$40,CEILING((NETWORKDAYS('New Hire'!P41,'New Hire'!$Q$40)+O181)/261,0.5),CEILING(O181/261,0.5))</f>
        <v>0</v>
      </c>
      <c r="P71" s="478">
        <f>SUM(B71:O71)</f>
        <v>9.5</v>
      </c>
      <c r="Q71" s="341"/>
      <c r="R71" s="341"/>
      <c r="S71" s="341"/>
      <c r="T71" s="341"/>
      <c r="U71" s="341"/>
      <c r="V71" s="593" t="s">
        <v>2</v>
      </c>
      <c r="W71" s="594">
        <v>91999912</v>
      </c>
      <c r="X71" s="595" t="s">
        <v>817</v>
      </c>
      <c r="Y71" s="595" t="s">
        <v>819</v>
      </c>
      <c r="Z71" s="596">
        <v>3210</v>
      </c>
      <c r="AA71" s="592">
        <f>'UAT8-Aug'!AA71</f>
        <v>4000000</v>
      </c>
      <c r="AB71" s="598"/>
      <c r="AC71" s="599"/>
    </row>
    <row r="72" spans="1:31">
      <c r="A72" s="445" t="s">
        <v>587</v>
      </c>
      <c r="B72" s="332">
        <f>B125+'UAT8-Aug'!B67-'UAT3-Mar'!B102</f>
        <v>62860000</v>
      </c>
      <c r="C72" s="332">
        <f>C125+'UAT8-Aug'!C67-'UAT3-Mar'!C102</f>
        <v>57400000</v>
      </c>
      <c r="D72" s="332"/>
      <c r="E72" s="332">
        <f>E125+'UAT8-Aug'!E67-'UAT3-Mar'!E102</f>
        <v>74393333</v>
      </c>
      <c r="F72" s="332">
        <f>F125+'UAT8-Aug'!F67-'UAT3-Mar'!F102</f>
        <v>105460000</v>
      </c>
      <c r="G72" s="332">
        <f>G125+'UAT8-Aug'!G67-'UAT3-Mar'!G102</f>
        <v>0</v>
      </c>
      <c r="H72" s="332">
        <f>H125+'UAT8-Aug'!H67-'UAT3-Mar'!H102</f>
        <v>710073000</v>
      </c>
      <c r="I72" s="332">
        <f>I125+'UAT8-Aug'!I67-'UAT3-Mar'!I102</f>
        <v>542997000</v>
      </c>
      <c r="J72" s="332">
        <f>J125+'UAT8-Aug'!J67-'UAT3-Mar'!J102</f>
        <v>429460000</v>
      </c>
      <c r="K72" s="332">
        <f>K125+'UAT8-Aug'!K67-'UAT3-Mar'!K102</f>
        <v>86260000</v>
      </c>
      <c r="L72" s="332">
        <f>L125+'UAT8-Aug'!L67-'UAT3-Mar'!L102</f>
        <v>239460000</v>
      </c>
      <c r="M72" s="332">
        <f>M125+'UAT8-Aug'!M67-'UAT3-Mar'!M102</f>
        <v>70260000</v>
      </c>
      <c r="N72" s="332">
        <f>N125+'UAT8-Aug'!N67-'UAT3-Mar'!N102</f>
        <v>74860000</v>
      </c>
      <c r="O72" s="400">
        <f>O125+'UAT8-Aug'!O67-'UAT3-Mar'!O102</f>
        <v>18000000</v>
      </c>
      <c r="P72" s="346">
        <f>SUM(B72:O72)</f>
        <v>2471483333</v>
      </c>
      <c r="V72" s="593" t="s">
        <v>2</v>
      </c>
      <c r="W72" s="594">
        <v>91999913</v>
      </c>
      <c r="X72" s="595" t="s">
        <v>817</v>
      </c>
      <c r="Y72" s="595" t="s">
        <v>819</v>
      </c>
      <c r="Z72" s="596">
        <v>3210</v>
      </c>
      <c r="AA72" s="592">
        <f>'UAT8-Aug'!AA72</f>
        <v>4000000</v>
      </c>
      <c r="AB72" s="598"/>
      <c r="AC72" s="599"/>
    </row>
    <row r="73" spans="1:31">
      <c r="A73" s="445" t="s">
        <v>1207</v>
      </c>
      <c r="B73" s="7">
        <v>8</v>
      </c>
      <c r="C73" s="7"/>
      <c r="D73" s="7"/>
      <c r="E73" s="7">
        <v>15</v>
      </c>
      <c r="F73" s="7"/>
      <c r="G73" s="7"/>
      <c r="H73" s="7"/>
      <c r="I73" s="7"/>
      <c r="J73" s="7">
        <v>8</v>
      </c>
      <c r="K73" s="7"/>
      <c r="L73" s="7"/>
      <c r="M73" s="7">
        <v>120</v>
      </c>
      <c r="N73" s="7">
        <v>10</v>
      </c>
      <c r="O73" s="12"/>
      <c r="P73" s="478">
        <f>SUM(B73:O73)</f>
        <v>161</v>
      </c>
      <c r="Q73" s="341"/>
      <c r="R73" s="482"/>
      <c r="S73" s="341"/>
      <c r="T73" s="341"/>
      <c r="U73" s="341"/>
      <c r="V73" s="593" t="s">
        <v>2</v>
      </c>
      <c r="W73" s="594">
        <v>91999901</v>
      </c>
      <c r="X73" s="595" t="s">
        <v>818</v>
      </c>
      <c r="Y73" s="595" t="s">
        <v>820</v>
      </c>
      <c r="Z73" s="596">
        <v>3501</v>
      </c>
      <c r="AA73" s="592">
        <f>'UAT8-Aug'!AA73</f>
        <v>2500000</v>
      </c>
      <c r="AB73" s="595"/>
      <c r="AC73" s="597"/>
    </row>
    <row r="74" spans="1:31">
      <c r="A74" s="412"/>
      <c r="B74" s="331"/>
      <c r="C74" s="332"/>
      <c r="D74" s="332"/>
      <c r="E74" s="340"/>
      <c r="F74" s="332"/>
      <c r="G74" s="332"/>
      <c r="H74" s="332"/>
      <c r="I74" s="332"/>
      <c r="J74" s="332"/>
      <c r="K74" s="340"/>
      <c r="L74" s="340"/>
      <c r="M74" s="340"/>
      <c r="N74" s="340"/>
      <c r="O74" s="401"/>
      <c r="P74" s="346"/>
      <c r="Q74" s="341"/>
      <c r="R74" s="482"/>
      <c r="S74" s="341"/>
      <c r="T74" s="341"/>
      <c r="U74" s="341"/>
      <c r="V74" s="593" t="s">
        <v>2</v>
      </c>
      <c r="W74" s="594">
        <v>91999902</v>
      </c>
      <c r="X74" s="595" t="s">
        <v>817</v>
      </c>
      <c r="Y74" s="595" t="s">
        <v>819</v>
      </c>
      <c r="Z74" s="596">
        <v>3501</v>
      </c>
      <c r="AA74" s="592">
        <f>'UAT8-Aug'!AA74</f>
        <v>2500000</v>
      </c>
      <c r="AB74" s="595"/>
      <c r="AC74" s="597"/>
    </row>
    <row r="75" spans="1:31" ht="15.6">
      <c r="A75" s="411" t="s">
        <v>889</v>
      </c>
      <c r="B75" s="480"/>
      <c r="C75" s="480"/>
      <c r="D75" s="480"/>
      <c r="E75" s="480"/>
      <c r="F75" s="480"/>
      <c r="G75" s="480"/>
      <c r="H75" s="480"/>
      <c r="I75" s="480"/>
      <c r="J75" s="590"/>
      <c r="K75" s="480"/>
      <c r="L75" s="480"/>
      <c r="M75" s="480"/>
      <c r="N75" s="480"/>
      <c r="O75" s="588"/>
      <c r="P75" s="346"/>
      <c r="Q75" s="341"/>
      <c r="R75" s="341"/>
      <c r="S75" s="341"/>
      <c r="T75" s="341"/>
      <c r="U75" s="341"/>
      <c r="V75" s="593" t="s">
        <v>2</v>
      </c>
      <c r="W75" s="594">
        <v>91999904</v>
      </c>
      <c r="X75" s="595" t="s">
        <v>817</v>
      </c>
      <c r="Y75" s="595" t="s">
        <v>819</v>
      </c>
      <c r="Z75" s="596">
        <v>3501</v>
      </c>
      <c r="AA75" s="592">
        <f>'UAT8-Aug'!AA75</f>
        <v>2500000</v>
      </c>
      <c r="AB75" s="595"/>
      <c r="AC75" s="597"/>
    </row>
    <row r="76" spans="1:31">
      <c r="A76" s="474" t="s">
        <v>885</v>
      </c>
      <c r="B76" s="340">
        <f>B110*B153</f>
        <v>3190415</v>
      </c>
      <c r="C76" s="340">
        <f>C110*C153</f>
        <v>-1573836</v>
      </c>
      <c r="D76" s="340"/>
      <c r="E76" s="340">
        <f t="shared" ref="E76:O76" si="30">E110*E153</f>
        <v>5076960</v>
      </c>
      <c r="F76" s="340">
        <f t="shared" si="30"/>
        <v>5907712</v>
      </c>
      <c r="G76" s="340">
        <f t="shared" si="30"/>
        <v>0</v>
      </c>
      <c r="H76" s="340">
        <f t="shared" si="30"/>
        <v>29452520</v>
      </c>
      <c r="I76" s="340">
        <f t="shared" si="30"/>
        <v>0</v>
      </c>
      <c r="J76" s="340">
        <f t="shared" si="30"/>
        <v>6980776</v>
      </c>
      <c r="K76" s="340">
        <f t="shared" si="30"/>
        <v>4615360</v>
      </c>
      <c r="L76" s="340">
        <f t="shared" si="30"/>
        <v>5307680</v>
      </c>
      <c r="M76" s="340">
        <f t="shared" si="30"/>
        <v>3109645</v>
      </c>
      <c r="N76" s="340">
        <f t="shared" si="30"/>
        <v>3553858</v>
      </c>
      <c r="O76" s="401">
        <f t="shared" si="30"/>
        <v>0</v>
      </c>
      <c r="P76" s="346">
        <f t="shared" ref="P76:P80" si="31">SUM(B76:O76)-J76</f>
        <v>58640314</v>
      </c>
      <c r="Q76" s="341"/>
      <c r="R76" s="341"/>
      <c r="S76" s="341"/>
      <c r="T76" s="341"/>
      <c r="U76" s="341"/>
      <c r="V76" s="593" t="s">
        <v>2</v>
      </c>
      <c r="W76" s="594">
        <v>91999905</v>
      </c>
      <c r="X76" s="595" t="s">
        <v>817</v>
      </c>
      <c r="Y76" s="595" t="s">
        <v>819</v>
      </c>
      <c r="Z76" s="596">
        <v>3501</v>
      </c>
      <c r="AA76" s="592">
        <f>'UAT8-Aug'!AA76</f>
        <v>2500000</v>
      </c>
      <c r="AB76" s="598"/>
      <c r="AC76" s="599"/>
    </row>
    <row r="77" spans="1:31">
      <c r="A77" s="474" t="s">
        <v>886</v>
      </c>
      <c r="B77" s="340">
        <f>B110*B152</f>
        <v>6057750</v>
      </c>
      <c r="C77" s="340">
        <f>C110*C152</f>
        <v>2432292</v>
      </c>
      <c r="D77" s="340"/>
      <c r="E77" s="340">
        <f t="shared" ref="E77:O77" si="32">E110*E152</f>
        <v>10153920</v>
      </c>
      <c r="F77" s="340">
        <f t="shared" si="32"/>
        <v>11815424</v>
      </c>
      <c r="G77" s="340">
        <f t="shared" si="32"/>
        <v>0</v>
      </c>
      <c r="H77" s="340">
        <f t="shared" si="32"/>
        <v>58905040</v>
      </c>
      <c r="I77" s="340">
        <f t="shared" si="32"/>
        <v>0</v>
      </c>
      <c r="J77" s="340">
        <f t="shared" si="32"/>
        <v>13961552</v>
      </c>
      <c r="K77" s="340">
        <f t="shared" si="32"/>
        <v>9230720</v>
      </c>
      <c r="L77" s="340">
        <f t="shared" si="32"/>
        <v>10615360</v>
      </c>
      <c r="M77" s="340">
        <f t="shared" si="32"/>
        <v>6259675</v>
      </c>
      <c r="N77" s="340">
        <f t="shared" si="32"/>
        <v>7153870</v>
      </c>
      <c r="O77" s="401">
        <f t="shared" si="32"/>
        <v>0</v>
      </c>
      <c r="P77" s="346">
        <f t="shared" si="31"/>
        <v>122624051</v>
      </c>
      <c r="Q77" s="341"/>
      <c r="R77" s="341"/>
      <c r="S77" s="341"/>
      <c r="T77" s="341"/>
      <c r="U77" s="341"/>
      <c r="V77" s="593" t="s">
        <v>2</v>
      </c>
      <c r="W77" s="594">
        <v>91999909</v>
      </c>
      <c r="X77" s="595" t="s">
        <v>817</v>
      </c>
      <c r="Y77" s="595" t="s">
        <v>819</v>
      </c>
      <c r="Z77" s="596">
        <v>3501</v>
      </c>
      <c r="AA77" s="592">
        <f>'UAT8-Aug'!AA77</f>
        <v>2500000</v>
      </c>
      <c r="AB77" s="598"/>
      <c r="AC77" s="599"/>
    </row>
    <row r="78" spans="1:31">
      <c r="A78" s="474" t="s">
        <v>928</v>
      </c>
      <c r="B78" s="340" t="e">
        <f>IF(OR(B19="A",B19="B"),ROUND(B178/12,0),ROUND(B178*$B$4/12,0))+'UAT8-Aug'!B73</f>
        <v>#REF!</v>
      </c>
      <c r="C78" s="340" t="e">
        <f>IF(OR(C19="A",C19="B"),ROUND(C178/12,0),ROUND(C178*$B$4/12,0))+'UAT8-Aug'!C73</f>
        <v>#REF!</v>
      </c>
      <c r="D78" s="340"/>
      <c r="E78" s="340" t="e">
        <f>IF(OR(E19="A",E19="B"),ROUND(E178/12,0),ROUND(E178*$B$4/12,0))+'UAT8-Aug'!E73</f>
        <v>#REF!</v>
      </c>
      <c r="F78" s="340" t="e">
        <f>IF(OR(F19="A",F19="B"),ROUND(F178/12,0),ROUND(F178*$B$4/12,0))+'UAT8-Aug'!F73</f>
        <v>#REF!</v>
      </c>
      <c r="G78" s="340" t="e">
        <f>IF(OR(G19="A",G19="B"),ROUND(G178/12,0),ROUND(G178*$B$4/12,0))+'UAT8-Aug'!G73</f>
        <v>#REF!</v>
      </c>
      <c r="H78" s="340" t="e">
        <f>IF(OR(H19="A",H19="B"),ROUND(H178/12,0),ROUND(H178*$B$4/12,0))+'UAT8-Aug'!H73</f>
        <v>#REF!</v>
      </c>
      <c r="I78" s="340" t="e">
        <f>IF(OR(I19="A",I19="B"),ROUND(I178/12,0),ROUND(I178*$B$4/12,0))+'UAT8-Aug'!I73</f>
        <v>#REF!</v>
      </c>
      <c r="J78" s="340" t="e">
        <f>IF(OR(J19="A",J19="B"),ROUND(J178/12,0),ROUND(J178*$B$4/12,0))+'UAT8-Aug'!J73</f>
        <v>#REF!</v>
      </c>
      <c r="K78" s="340" t="e">
        <f>IF(OR(K19="A",K19="B"),ROUND(K178/12,0),ROUND(K178*$B$4/12,0))+'UAT8-Aug'!K73</f>
        <v>#REF!</v>
      </c>
      <c r="L78" s="340" t="e">
        <f>IF(OR(L19="A",L19="B"),ROUND(L178/12,0),ROUND(L178*$B$4/12,0))+'UAT8-Aug'!L73</f>
        <v>#REF!</v>
      </c>
      <c r="M78" s="340" t="e">
        <f>IF(OR(M19="A",M19="B"),ROUND(M178/12,0),ROUND(M178*$B$4/12,0))+'UAT8-Aug'!M73</f>
        <v>#REF!</v>
      </c>
      <c r="N78" s="340" t="e">
        <f>IF(OR(N19="A",N19="B"),ROUND(N178/12,0),ROUND(N178*$B$4/12,0))+'UAT8-Aug'!N73</f>
        <v>#REF!</v>
      </c>
      <c r="O78" s="401" t="e">
        <f>IF(OR(O19="A",O19="B"),ROUND(O178/12,0),ROUND(O178*$B$4/12,0))+'UAT8-Aug'!O73</f>
        <v>#REF!</v>
      </c>
      <c r="P78" s="346" t="e">
        <f t="shared" si="31"/>
        <v>#REF!</v>
      </c>
      <c r="Q78" s="481"/>
      <c r="R78" s="481"/>
      <c r="S78" s="379"/>
      <c r="T78" s="379"/>
      <c r="U78" s="379"/>
      <c r="V78" s="593" t="s">
        <v>2</v>
      </c>
      <c r="W78" s="594">
        <v>91999910</v>
      </c>
      <c r="X78" s="595" t="s">
        <v>817</v>
      </c>
      <c r="Y78" s="595" t="s">
        <v>819</v>
      </c>
      <c r="Z78" s="596">
        <v>3501</v>
      </c>
      <c r="AA78" s="592">
        <f>'UAT8-Aug'!AA78</f>
        <v>2500000</v>
      </c>
      <c r="AB78" s="598"/>
      <c r="AC78" s="599"/>
    </row>
    <row r="79" spans="1:31" s="5" customFormat="1">
      <c r="A79" s="474" t="s">
        <v>887</v>
      </c>
      <c r="B79" s="340"/>
      <c r="C79" s="340">
        <f>ROUND((C165+C171+C172)/12*AB39*C16/261,0)</f>
        <v>4805</v>
      </c>
      <c r="D79" s="340"/>
      <c r="E79" s="340"/>
      <c r="F79" s="340"/>
      <c r="G79" s="340"/>
      <c r="H79" s="340">
        <f>ROUND((H165*B4+H171+H172)/12*AB40*H16/261,0)</f>
        <v>479214</v>
      </c>
      <c r="I79" s="340"/>
      <c r="J79" s="453"/>
      <c r="K79" s="340"/>
      <c r="L79" s="340"/>
      <c r="M79" s="340"/>
      <c r="N79" s="340"/>
      <c r="O79" s="401"/>
      <c r="P79" s="346">
        <f t="shared" si="31"/>
        <v>484019</v>
      </c>
      <c r="Q79" s="341"/>
      <c r="R79" s="341"/>
      <c r="S79" s="341"/>
      <c r="T79" s="341"/>
      <c r="U79" s="341"/>
      <c r="V79" s="593" t="s">
        <v>2</v>
      </c>
      <c r="W79" s="594">
        <v>91000011</v>
      </c>
      <c r="X79" s="595" t="s">
        <v>817</v>
      </c>
      <c r="Y79" s="595" t="s">
        <v>819</v>
      </c>
      <c r="Z79" s="596">
        <v>3501</v>
      </c>
      <c r="AA79" s="592">
        <f>'UAT8-Aug'!AA79</f>
        <v>2500000</v>
      </c>
      <c r="AB79" s="598"/>
      <c r="AC79" s="599"/>
      <c r="AD79"/>
      <c r="AE79"/>
    </row>
    <row r="80" spans="1:31" s="5" customFormat="1">
      <c r="A80" s="474" t="s">
        <v>888</v>
      </c>
      <c r="B80" s="340">
        <f>IF(OR(B19="A",B19="B"),ROUND(B71*B165*50%,0),ROUND(B71*B165*$B$4*50%,0))</f>
        <v>0</v>
      </c>
      <c r="C80" s="340">
        <f>IF(OR(C19="A",C19="B"),ROUND(C71*C165*50%,0),ROUND(C71*C165*$B$4*50%,0))</f>
        <v>9300000</v>
      </c>
      <c r="D80" s="340"/>
      <c r="E80" s="340">
        <f t="shared" ref="E80:O80" si="33">IF(OR(E19="A",E19="B"),ROUND(E71*E165*50%,0),ROUND(E71*E165*$B$4*50%,0))</f>
        <v>2750000</v>
      </c>
      <c r="F80" s="340">
        <f t="shared" si="33"/>
        <v>0</v>
      </c>
      <c r="G80" s="340">
        <f t="shared" si="33"/>
        <v>0</v>
      </c>
      <c r="H80" s="340">
        <f t="shared" si="33"/>
        <v>287161875</v>
      </c>
      <c r="I80" s="340">
        <f t="shared" si="33"/>
        <v>0</v>
      </c>
      <c r="J80" s="340">
        <f t="shared" si="33"/>
        <v>0</v>
      </c>
      <c r="K80" s="340">
        <f t="shared" si="33"/>
        <v>0</v>
      </c>
      <c r="L80" s="340">
        <f t="shared" si="33"/>
        <v>0</v>
      </c>
      <c r="M80" s="340">
        <f t="shared" si="33"/>
        <v>0</v>
      </c>
      <c r="N80" s="340">
        <f t="shared" si="33"/>
        <v>6000000</v>
      </c>
      <c r="O80" s="401">
        <f t="shared" si="33"/>
        <v>0</v>
      </c>
      <c r="P80" s="346">
        <f t="shared" si="31"/>
        <v>305211875</v>
      </c>
      <c r="Q80" s="341"/>
      <c r="R80" s="341"/>
      <c r="S80" s="341"/>
      <c r="T80" s="341"/>
      <c r="U80" s="341"/>
      <c r="V80" s="593" t="s">
        <v>2</v>
      </c>
      <c r="W80" s="594">
        <v>91999912</v>
      </c>
      <c r="X80" s="595" t="s">
        <v>817</v>
      </c>
      <c r="Y80" s="595" t="s">
        <v>819</v>
      </c>
      <c r="Z80" s="596">
        <v>3501</v>
      </c>
      <c r="AA80" s="592">
        <f>'UAT8-Aug'!AA80</f>
        <v>2500000</v>
      </c>
      <c r="AB80" s="595"/>
      <c r="AC80" s="597"/>
      <c r="AD80"/>
      <c r="AE80"/>
    </row>
    <row r="81" spans="1:31" s="5" customFormat="1">
      <c r="A81" s="474"/>
      <c r="B81" s="340"/>
      <c r="C81" s="340"/>
      <c r="D81" s="340"/>
      <c r="E81" s="340"/>
      <c r="F81" s="340"/>
      <c r="G81" s="340"/>
      <c r="H81" s="340"/>
      <c r="I81" s="340"/>
      <c r="J81" s="340"/>
      <c r="K81" s="340"/>
      <c r="L81" s="340"/>
      <c r="M81" s="340"/>
      <c r="N81" s="340"/>
      <c r="O81" s="401"/>
      <c r="P81" s="346"/>
      <c r="Q81" s="341"/>
      <c r="R81" s="341"/>
      <c r="S81" s="341"/>
      <c r="T81" s="341"/>
      <c r="U81" s="341"/>
      <c r="V81" s="593" t="s">
        <v>2</v>
      </c>
      <c r="W81" s="594">
        <v>91999913</v>
      </c>
      <c r="X81" s="595" t="s">
        <v>818</v>
      </c>
      <c r="Y81" s="595" t="s">
        <v>820</v>
      </c>
      <c r="Z81" s="596">
        <v>3501</v>
      </c>
      <c r="AA81" s="592">
        <f>'UAT8-Aug'!AA81</f>
        <v>2500000</v>
      </c>
      <c r="AB81" s="595"/>
      <c r="AC81" s="597"/>
      <c r="AD81"/>
      <c r="AE81"/>
    </row>
    <row r="82" spans="1:31" s="5" customFormat="1" ht="15.6">
      <c r="A82" s="411" t="s">
        <v>704</v>
      </c>
      <c r="B82" s="331"/>
      <c r="C82" s="332"/>
      <c r="D82" s="332"/>
      <c r="E82" s="340"/>
      <c r="F82" s="332"/>
      <c r="G82" s="332"/>
      <c r="H82" s="332"/>
      <c r="I82" s="332"/>
      <c r="J82" s="332"/>
      <c r="K82" s="340"/>
      <c r="L82" s="340"/>
      <c r="M82" s="340"/>
      <c r="N82" s="340"/>
      <c r="O82" s="401"/>
      <c r="P82" s="346"/>
      <c r="Q82" s="347"/>
      <c r="R82" s="482"/>
      <c r="S82" s="341"/>
      <c r="T82" s="341"/>
      <c r="U82" s="341"/>
      <c r="V82" s="593" t="s">
        <v>2</v>
      </c>
      <c r="W82" s="594">
        <v>91999901</v>
      </c>
      <c r="X82" s="595" t="s">
        <v>817</v>
      </c>
      <c r="Y82" s="595" t="s">
        <v>819</v>
      </c>
      <c r="Z82" s="596">
        <v>3525</v>
      </c>
      <c r="AA82" s="592">
        <f>'UAT8-Aug'!AA82</f>
        <v>730000</v>
      </c>
      <c r="AB82" s="595"/>
      <c r="AC82" s="597"/>
      <c r="AD82"/>
      <c r="AE82"/>
    </row>
    <row r="83" spans="1:31" s="5" customFormat="1">
      <c r="A83" s="501" t="s">
        <v>1160</v>
      </c>
      <c r="B83" s="502"/>
      <c r="C83" s="502"/>
      <c r="D83" s="502"/>
      <c r="E83" s="502"/>
      <c r="F83" s="502"/>
      <c r="G83" s="502"/>
      <c r="H83" s="502"/>
      <c r="I83" s="502"/>
      <c r="J83" s="502"/>
      <c r="K83" s="502"/>
      <c r="L83" s="502"/>
      <c r="M83" s="502">
        <f>ROUND('UAT8-Aug'!M82*AC99*100%,0)+ROUND('UAT8-Aug'!M82*AC100*100%,0)+ROUND('UAT8-Aug'!M82*AC101*100%,0)</f>
        <v>1211550</v>
      </c>
      <c r="N83" s="502"/>
      <c r="O83" s="503"/>
      <c r="P83" s="504">
        <f t="shared" ref="P83:P107" si="34">SUM(B83:O83)</f>
        <v>1211550</v>
      </c>
      <c r="Q83" s="519" t="s">
        <v>597</v>
      </c>
      <c r="R83" s="519" t="s">
        <v>597</v>
      </c>
      <c r="S83" s="520"/>
      <c r="T83" s="521"/>
      <c r="U83" s="521"/>
      <c r="V83" s="593" t="s">
        <v>2</v>
      </c>
      <c r="W83" s="594">
        <v>91999902</v>
      </c>
      <c r="X83" s="595" t="s">
        <v>817</v>
      </c>
      <c r="Y83" s="595" t="s">
        <v>819</v>
      </c>
      <c r="Z83" s="596">
        <v>3525</v>
      </c>
      <c r="AA83" s="592">
        <f>'UAT8-Aug'!AA83</f>
        <v>730000</v>
      </c>
      <c r="AB83" s="595"/>
      <c r="AC83" s="597"/>
      <c r="AD83"/>
      <c r="AE83"/>
    </row>
    <row r="84" spans="1:31" s="5" customFormat="1">
      <c r="A84" s="527" t="s">
        <v>747</v>
      </c>
      <c r="B84" s="502"/>
      <c r="C84" s="502"/>
      <c r="D84" s="502"/>
      <c r="E84" s="502"/>
      <c r="F84" s="502"/>
      <c r="G84" s="502"/>
      <c r="H84" s="502"/>
      <c r="I84" s="502"/>
      <c r="J84" s="502"/>
      <c r="K84" s="502"/>
      <c r="L84" s="502"/>
      <c r="M84" s="502">
        <f>ROUND('UAT8-Aug'!M82*AC99*100%,0)+ROUND('UAT8-Aug'!M82*AC100*100%,0)+ROUND('UAT8-Aug'!M82*AC101*100%,0)</f>
        <v>1211550</v>
      </c>
      <c r="N84" s="502"/>
      <c r="O84" s="503"/>
      <c r="P84" s="504">
        <f t="shared" si="34"/>
        <v>1211550</v>
      </c>
      <c r="Q84" s="519" t="s">
        <v>597</v>
      </c>
      <c r="R84" s="519"/>
      <c r="S84" s="522"/>
      <c r="T84" s="522"/>
      <c r="U84" s="522"/>
      <c r="V84" s="593" t="s">
        <v>2</v>
      </c>
      <c r="W84" s="594">
        <v>91999904</v>
      </c>
      <c r="X84" s="595" t="s">
        <v>817</v>
      </c>
      <c r="Y84" s="595" t="s">
        <v>819</v>
      </c>
      <c r="Z84" s="596">
        <v>3525</v>
      </c>
      <c r="AA84" s="592">
        <f>'UAT8-Aug'!AA84</f>
        <v>730000</v>
      </c>
      <c r="AB84" s="598"/>
      <c r="AC84" s="599"/>
      <c r="AD84"/>
      <c r="AE84"/>
    </row>
    <row r="85" spans="1:31" s="5" customFormat="1">
      <c r="A85" s="527" t="s">
        <v>834</v>
      </c>
      <c r="B85" s="502"/>
      <c r="C85" s="502"/>
      <c r="D85" s="502"/>
      <c r="E85" s="502"/>
      <c r="F85" s="553"/>
      <c r="G85" s="502"/>
      <c r="H85" s="502"/>
      <c r="I85" s="502"/>
      <c r="J85" s="502"/>
      <c r="K85" s="502"/>
      <c r="L85" s="553">
        <f>ROUND(('New Hire'!M80-'New Hire'!M81)/1826*'New Hire'!M82%,4)+ROUND(('New Hire'!M83-'New Hire'!M84)/1826*'New Hire'!M85%,4)</f>
        <v>0.9</v>
      </c>
      <c r="M85" s="502"/>
      <c r="N85" s="502"/>
      <c r="O85" s="503"/>
      <c r="P85" s="562">
        <f t="shared" si="34"/>
        <v>0.9</v>
      </c>
      <c r="Q85" s="519"/>
      <c r="R85" s="519"/>
      <c r="S85" s="522"/>
      <c r="T85" s="522"/>
      <c r="U85" s="522"/>
      <c r="V85" s="593" t="s">
        <v>2</v>
      </c>
      <c r="W85" s="594">
        <v>91999905</v>
      </c>
      <c r="X85" s="595" t="s">
        <v>817</v>
      </c>
      <c r="Y85" s="595" t="s">
        <v>819</v>
      </c>
      <c r="Z85" s="596">
        <v>3525</v>
      </c>
      <c r="AA85" s="592">
        <f>'UAT8-Aug'!AA85</f>
        <v>730000</v>
      </c>
      <c r="AB85" s="598"/>
      <c r="AC85" s="599"/>
      <c r="AD85"/>
      <c r="AE85"/>
    </row>
    <row r="86" spans="1:31" s="5" customFormat="1">
      <c r="A86" s="527" t="s">
        <v>836</v>
      </c>
      <c r="B86" s="553">
        <f>ROUND(('New Hire'!C80+151-'New Hire'!C81-B180)/1826*'New Hire'!C82%,4)</f>
        <v>0.98740000000000006</v>
      </c>
      <c r="C86" s="553"/>
      <c r="D86" s="553"/>
      <c r="E86" s="553"/>
      <c r="F86" s="553"/>
      <c r="G86" s="553"/>
      <c r="H86" s="553">
        <f>ROUND(('New Hire'!I80-'New Hire'!I81)/'New Hire'!I80*'New Hire'!I82%,4)</f>
        <v>1</v>
      </c>
      <c r="I86" s="502"/>
      <c r="J86" s="502"/>
      <c r="K86" s="553">
        <f>ROUND(('New Hire'!L80-'New Hire'!L81)/1826*'New Hire'!L82%,4)</f>
        <v>1</v>
      </c>
      <c r="L86" s="553"/>
      <c r="M86" s="502"/>
      <c r="N86" s="502"/>
      <c r="O86" s="503"/>
      <c r="P86" s="562">
        <f t="shared" si="34"/>
        <v>2.9874000000000001</v>
      </c>
      <c r="Q86" s="519"/>
      <c r="R86" s="519"/>
      <c r="S86" s="522"/>
      <c r="T86" s="522"/>
      <c r="U86" s="522"/>
      <c r="V86" s="593" t="s">
        <v>2</v>
      </c>
      <c r="W86" s="594">
        <v>91999909</v>
      </c>
      <c r="X86" s="595" t="s">
        <v>817</v>
      </c>
      <c r="Y86" s="595" t="s">
        <v>819</v>
      </c>
      <c r="Z86" s="596">
        <v>3525</v>
      </c>
      <c r="AA86" s="592">
        <f>'UAT8-Aug'!AA86</f>
        <v>730000</v>
      </c>
      <c r="AB86" s="598"/>
      <c r="AC86" s="599"/>
      <c r="AD86"/>
      <c r="AE86"/>
    </row>
    <row r="87" spans="1:31" s="5" customFormat="1">
      <c r="A87" s="527" t="s">
        <v>1166</v>
      </c>
      <c r="B87" s="554">
        <f>AD106</f>
        <v>1</v>
      </c>
      <c r="C87" s="554">
        <f>AD107</f>
        <v>0.5</v>
      </c>
      <c r="D87" s="554"/>
      <c r="E87" s="554"/>
      <c r="F87" s="554"/>
      <c r="G87" s="554"/>
      <c r="H87" s="554"/>
      <c r="I87" s="554"/>
      <c r="J87" s="554"/>
      <c r="K87" s="554"/>
      <c r="L87" s="554"/>
      <c r="M87" s="554"/>
      <c r="N87" s="554"/>
      <c r="O87" s="561"/>
      <c r="P87" s="558">
        <f t="shared" si="34"/>
        <v>1.5</v>
      </c>
      <c r="Q87" s="547"/>
      <c r="R87" s="547"/>
      <c r="S87" s="547"/>
      <c r="T87" s="547"/>
      <c r="U87" s="547"/>
      <c r="V87" s="593" t="s">
        <v>2</v>
      </c>
      <c r="W87" s="594">
        <v>91999910</v>
      </c>
      <c r="X87" s="595" t="s">
        <v>817</v>
      </c>
      <c r="Y87" s="595" t="s">
        <v>819</v>
      </c>
      <c r="Z87" s="596">
        <v>3525</v>
      </c>
      <c r="AA87" s="592">
        <f>'UAT8-Aug'!AA87</f>
        <v>730000</v>
      </c>
      <c r="AB87" s="595"/>
      <c r="AC87" s="597"/>
      <c r="AD87"/>
      <c r="AE87"/>
    </row>
    <row r="88" spans="1:31" s="5" customFormat="1">
      <c r="A88" s="527" t="s">
        <v>791</v>
      </c>
      <c r="B88" s="554"/>
      <c r="C88" s="554">
        <f>AD108</f>
        <v>10</v>
      </c>
      <c r="D88" s="554"/>
      <c r="E88" s="554"/>
      <c r="F88" s="554"/>
      <c r="G88" s="554"/>
      <c r="H88" s="554"/>
      <c r="I88" s="554"/>
      <c r="J88" s="554"/>
      <c r="K88" s="554"/>
      <c r="L88" s="554"/>
      <c r="M88" s="554"/>
      <c r="N88" s="554"/>
      <c r="O88" s="561"/>
      <c r="P88" s="558">
        <f t="shared" si="34"/>
        <v>10</v>
      </c>
      <c r="Q88" s="547"/>
      <c r="R88" s="547"/>
      <c r="S88" s="547"/>
      <c r="T88" s="547"/>
      <c r="U88" s="547"/>
      <c r="V88" s="593" t="s">
        <v>2</v>
      </c>
      <c r="W88" s="594">
        <v>91000011</v>
      </c>
      <c r="X88" s="595" t="s">
        <v>817</v>
      </c>
      <c r="Y88" s="595" t="s">
        <v>819</v>
      </c>
      <c r="Z88" s="596">
        <v>3525</v>
      </c>
      <c r="AA88" s="592">
        <f>'UAT8-Aug'!AA88</f>
        <v>730000</v>
      </c>
      <c r="AB88" s="595"/>
      <c r="AC88" s="597"/>
      <c r="AD88"/>
      <c r="AE88"/>
    </row>
    <row r="89" spans="1:31" s="5" customFormat="1">
      <c r="A89" s="527" t="s">
        <v>1167</v>
      </c>
      <c r="B89" s="554"/>
      <c r="C89" s="554">
        <f>AD109</f>
        <v>1</v>
      </c>
      <c r="D89" s="554"/>
      <c r="E89" s="554"/>
      <c r="F89" s="554"/>
      <c r="G89" s="554"/>
      <c r="H89" s="554"/>
      <c r="I89" s="554"/>
      <c r="J89" s="554"/>
      <c r="K89" s="554"/>
      <c r="L89" s="554"/>
      <c r="M89" s="554"/>
      <c r="N89" s="554"/>
      <c r="O89" s="561"/>
      <c r="P89" s="558">
        <f t="shared" si="34"/>
        <v>1</v>
      </c>
      <c r="Q89" s="547"/>
      <c r="R89" s="547"/>
      <c r="S89" s="547"/>
      <c r="T89" s="547"/>
      <c r="U89" s="547"/>
      <c r="V89" s="593" t="s">
        <v>2</v>
      </c>
      <c r="W89" s="594">
        <v>91999912</v>
      </c>
      <c r="X89" s="595" t="s">
        <v>817</v>
      </c>
      <c r="Y89" s="595" t="s">
        <v>819</v>
      </c>
      <c r="Z89" s="596">
        <v>3525</v>
      </c>
      <c r="AA89" s="592">
        <f>'UAT8-Aug'!AA89</f>
        <v>730000</v>
      </c>
      <c r="AB89" s="595"/>
      <c r="AC89" s="597"/>
      <c r="AD89"/>
      <c r="AE89"/>
    </row>
    <row r="90" spans="1:31" s="5" customFormat="1">
      <c r="A90" s="527" t="s">
        <v>793</v>
      </c>
      <c r="B90" s="554">
        <f>AD110</f>
        <v>0.5</v>
      </c>
      <c r="C90" s="554"/>
      <c r="D90" s="554"/>
      <c r="E90" s="554"/>
      <c r="F90" s="554"/>
      <c r="G90" s="554"/>
      <c r="H90" s="554"/>
      <c r="I90" s="554"/>
      <c r="J90" s="554"/>
      <c r="K90" s="554"/>
      <c r="L90" s="554"/>
      <c r="M90" s="554"/>
      <c r="N90" s="554"/>
      <c r="O90" s="561"/>
      <c r="P90" s="558">
        <f t="shared" si="34"/>
        <v>0.5</v>
      </c>
      <c r="Q90" s="548"/>
      <c r="R90" s="547"/>
      <c r="S90" s="547"/>
      <c r="T90" s="547"/>
      <c r="U90" s="547"/>
      <c r="V90" s="593" t="s">
        <v>2</v>
      </c>
      <c r="W90" s="594">
        <v>91999913</v>
      </c>
      <c r="X90" s="595" t="s">
        <v>817</v>
      </c>
      <c r="Y90" s="595" t="s">
        <v>819</v>
      </c>
      <c r="Z90" s="596">
        <v>3525</v>
      </c>
      <c r="AA90" s="592">
        <f>'UAT8-Aug'!AA90</f>
        <v>730000</v>
      </c>
      <c r="AB90" s="595"/>
      <c r="AC90" s="597"/>
      <c r="AD90"/>
      <c r="AE90"/>
    </row>
    <row r="91" spans="1:31" s="5" customFormat="1">
      <c r="A91" s="527" t="s">
        <v>794</v>
      </c>
      <c r="B91" s="554"/>
      <c r="C91" s="554"/>
      <c r="D91" s="554"/>
      <c r="E91" s="554"/>
      <c r="F91" s="554"/>
      <c r="G91" s="554"/>
      <c r="H91" s="554">
        <f>AD111</f>
        <v>1</v>
      </c>
      <c r="I91" s="554">
        <f>AD112</f>
        <v>1</v>
      </c>
      <c r="J91" s="554"/>
      <c r="K91" s="554"/>
      <c r="L91" s="554"/>
      <c r="M91" s="554"/>
      <c r="N91" s="554"/>
      <c r="O91" s="561"/>
      <c r="P91" s="558">
        <f t="shared" si="34"/>
        <v>2</v>
      </c>
      <c r="Q91" s="547"/>
      <c r="R91" s="547"/>
      <c r="S91" s="547"/>
      <c r="T91" s="547"/>
      <c r="U91" s="547"/>
      <c r="V91" s="42"/>
      <c r="W91" s="43"/>
      <c r="X91" s="13"/>
      <c r="Y91" s="13"/>
      <c r="Z91" s="61"/>
      <c r="AA91" s="362"/>
      <c r="AB91" s="13"/>
      <c r="AC91" s="18"/>
      <c r="AD91"/>
      <c r="AE91"/>
    </row>
    <row r="92" spans="1:31" s="5" customFormat="1">
      <c r="A92" s="527" t="s">
        <v>795</v>
      </c>
      <c r="B92" s="554"/>
      <c r="C92" s="554">
        <f>AD113</f>
        <v>1</v>
      </c>
      <c r="D92" s="554"/>
      <c r="E92" s="554"/>
      <c r="F92" s="554"/>
      <c r="G92" s="554"/>
      <c r="H92" s="554"/>
      <c r="I92" s="554"/>
      <c r="J92" s="554"/>
      <c r="K92" s="554"/>
      <c r="L92" s="554"/>
      <c r="M92" s="554"/>
      <c r="N92" s="554"/>
      <c r="O92" s="561"/>
      <c r="P92" s="558">
        <f t="shared" si="34"/>
        <v>1</v>
      </c>
      <c r="Q92" s="547"/>
      <c r="R92" s="547"/>
      <c r="S92" s="547"/>
      <c r="T92" s="547"/>
      <c r="U92" s="547"/>
      <c r="V92" s="42"/>
      <c r="W92" s="43"/>
      <c r="X92" s="13"/>
      <c r="Y92" s="13"/>
      <c r="Z92" s="61"/>
      <c r="AA92" s="362"/>
      <c r="AB92" s="13"/>
      <c r="AC92" s="18"/>
      <c r="AD92"/>
      <c r="AE92"/>
    </row>
    <row r="93" spans="1:31" s="5" customFormat="1">
      <c r="A93" s="527" t="s">
        <v>796</v>
      </c>
      <c r="B93" s="554"/>
      <c r="C93" s="554">
        <f>AD109</f>
        <v>1</v>
      </c>
      <c r="D93" s="554"/>
      <c r="E93" s="554"/>
      <c r="F93" s="554"/>
      <c r="G93" s="554"/>
      <c r="H93" s="554"/>
      <c r="I93" s="554"/>
      <c r="J93" s="554"/>
      <c r="K93" s="554"/>
      <c r="L93" s="554"/>
      <c r="M93" s="554"/>
      <c r="N93" s="554"/>
      <c r="O93" s="561"/>
      <c r="P93" s="558">
        <f t="shared" si="34"/>
        <v>1</v>
      </c>
      <c r="Q93" s="547"/>
      <c r="R93" s="547"/>
      <c r="S93" s="547"/>
      <c r="T93" s="547"/>
      <c r="U93" s="547"/>
      <c r="V93" s="42"/>
      <c r="W93" s="43"/>
      <c r="X93" s="13"/>
      <c r="Y93" s="13"/>
      <c r="Z93" s="61"/>
      <c r="AA93" s="362"/>
      <c r="AB93" s="13"/>
      <c r="AC93" s="18"/>
      <c r="AD93"/>
      <c r="AE93"/>
    </row>
    <row r="94" spans="1:31" s="5" customFormat="1">
      <c r="A94" s="527" t="s">
        <v>797</v>
      </c>
      <c r="B94" s="554"/>
      <c r="C94" s="554"/>
      <c r="D94" s="554"/>
      <c r="E94" s="554">
        <f>AD115</f>
        <v>5</v>
      </c>
      <c r="F94" s="554"/>
      <c r="G94" s="554"/>
      <c r="H94" s="554"/>
      <c r="I94" s="554"/>
      <c r="J94" s="554"/>
      <c r="K94" s="554"/>
      <c r="L94" s="554"/>
      <c r="M94" s="554"/>
      <c r="N94" s="554"/>
      <c r="O94" s="561"/>
      <c r="P94" s="558">
        <f t="shared" si="34"/>
        <v>5</v>
      </c>
      <c r="Q94" s="547"/>
      <c r="R94" s="548"/>
      <c r="S94" s="548"/>
      <c r="T94" s="548"/>
      <c r="U94" s="548"/>
      <c r="V94" s="24" t="s">
        <v>57</v>
      </c>
      <c r="W94" s="37" t="s">
        <v>67</v>
      </c>
      <c r="X94" s="37" t="s">
        <v>69</v>
      </c>
      <c r="Y94" s="37" t="s">
        <v>70</v>
      </c>
      <c r="Z94" s="62" t="s">
        <v>425</v>
      </c>
      <c r="AA94" s="363" t="s">
        <v>426</v>
      </c>
      <c r="AB94" s="37" t="s">
        <v>56</v>
      </c>
      <c r="AC94" s="38"/>
      <c r="AD94"/>
      <c r="AE94"/>
    </row>
    <row r="95" spans="1:31" s="5" customFormat="1">
      <c r="A95" s="527" t="s">
        <v>798</v>
      </c>
      <c r="B95" s="554"/>
      <c r="C95" s="554"/>
      <c r="D95" s="554"/>
      <c r="E95" s="554"/>
      <c r="F95" s="554">
        <f>AD116</f>
        <v>5</v>
      </c>
      <c r="G95" s="554"/>
      <c r="H95" s="554"/>
      <c r="I95" s="554"/>
      <c r="J95" s="554"/>
      <c r="K95" s="554"/>
      <c r="L95" s="554"/>
      <c r="M95" s="554"/>
      <c r="N95" s="554"/>
      <c r="O95" s="561"/>
      <c r="P95" s="558">
        <f t="shared" si="34"/>
        <v>5</v>
      </c>
      <c r="Q95" s="547"/>
      <c r="R95" s="547"/>
      <c r="S95" s="547"/>
      <c r="T95" s="547"/>
      <c r="U95" s="547"/>
      <c r="V95" s="523" t="s">
        <v>424</v>
      </c>
      <c r="W95" s="524">
        <v>91999906</v>
      </c>
      <c r="X95" s="525" t="s">
        <v>844</v>
      </c>
      <c r="Y95" s="525" t="s">
        <v>844</v>
      </c>
      <c r="Z95" s="292">
        <v>0.375</v>
      </c>
      <c r="AA95" s="292">
        <v>0.47916666666666669</v>
      </c>
      <c r="AB95" s="290">
        <v>9180</v>
      </c>
      <c r="AC95" s="479">
        <v>2.5</v>
      </c>
      <c r="AD95"/>
      <c r="AE95"/>
    </row>
    <row r="96" spans="1:31" s="5" customFormat="1">
      <c r="A96" s="527" t="s">
        <v>799</v>
      </c>
      <c r="B96" s="554"/>
      <c r="C96" s="554"/>
      <c r="D96" s="554"/>
      <c r="E96" s="554"/>
      <c r="F96" s="554"/>
      <c r="G96" s="554"/>
      <c r="H96" s="554"/>
      <c r="I96" s="554"/>
      <c r="J96" s="554">
        <f>AD117</f>
        <v>2</v>
      </c>
      <c r="K96" s="554"/>
      <c r="L96" s="554"/>
      <c r="M96" s="554"/>
      <c r="N96" s="554"/>
      <c r="O96" s="561"/>
      <c r="P96" s="558">
        <f t="shared" si="34"/>
        <v>2</v>
      </c>
      <c r="Q96" s="547"/>
      <c r="R96" s="547"/>
      <c r="S96" s="547"/>
      <c r="T96" s="547"/>
      <c r="U96" s="547"/>
      <c r="V96" s="523" t="s">
        <v>423</v>
      </c>
      <c r="W96" s="524">
        <v>91999906</v>
      </c>
      <c r="X96" s="525" t="s">
        <v>845</v>
      </c>
      <c r="Y96" s="525" t="s">
        <v>845</v>
      </c>
      <c r="Z96" s="292">
        <v>0.375</v>
      </c>
      <c r="AA96" s="292">
        <v>0.47916666666666669</v>
      </c>
      <c r="AB96" s="290">
        <v>9180</v>
      </c>
      <c r="AC96" s="479">
        <v>2.5</v>
      </c>
      <c r="AD96"/>
      <c r="AE96"/>
    </row>
    <row r="97" spans="1:32" s="5" customFormat="1">
      <c r="A97" s="527" t="s">
        <v>813</v>
      </c>
      <c r="B97" s="554">
        <f>AC118</f>
        <v>5</v>
      </c>
      <c r="C97" s="554">
        <f>AC119</f>
        <v>2</v>
      </c>
      <c r="D97" s="554"/>
      <c r="E97" s="554"/>
      <c r="F97" s="554"/>
      <c r="G97" s="554"/>
      <c r="H97" s="554"/>
      <c r="I97" s="554"/>
      <c r="J97" s="554"/>
      <c r="K97" s="554">
        <f>AD120</f>
        <v>1</v>
      </c>
      <c r="L97" s="554"/>
      <c r="M97" s="554"/>
      <c r="N97" s="554"/>
      <c r="O97" s="561"/>
      <c r="P97" s="558">
        <f t="shared" si="34"/>
        <v>8</v>
      </c>
      <c r="Q97" s="547"/>
      <c r="R97" s="547"/>
      <c r="S97" s="547"/>
      <c r="T97" s="547"/>
      <c r="U97" s="547"/>
      <c r="V97" s="523" t="s">
        <v>423</v>
      </c>
      <c r="W97" s="524">
        <v>91999914</v>
      </c>
      <c r="X97" s="525" t="s">
        <v>846</v>
      </c>
      <c r="Y97" s="525" t="s">
        <v>846</v>
      </c>
      <c r="Z97" s="292">
        <v>0.375</v>
      </c>
      <c r="AA97" s="292">
        <v>0.47916666666666669</v>
      </c>
      <c r="AB97" s="290">
        <v>9180</v>
      </c>
      <c r="AC97" s="479">
        <v>2.5</v>
      </c>
      <c r="AD97"/>
      <c r="AE97"/>
    </row>
    <row r="98" spans="1:32" s="5" customFormat="1">
      <c r="A98" s="527" t="s">
        <v>800</v>
      </c>
      <c r="B98" s="554"/>
      <c r="C98" s="554"/>
      <c r="D98" s="554"/>
      <c r="E98" s="554"/>
      <c r="F98" s="554"/>
      <c r="G98" s="554"/>
      <c r="H98" s="554"/>
      <c r="I98" s="554"/>
      <c r="J98" s="554"/>
      <c r="K98" s="554"/>
      <c r="L98" s="554"/>
      <c r="M98" s="554">
        <f>AD121</f>
        <v>12</v>
      </c>
      <c r="N98" s="554"/>
      <c r="O98" s="561"/>
      <c r="P98" s="558">
        <f t="shared" si="34"/>
        <v>12</v>
      </c>
      <c r="Q98" s="547"/>
      <c r="R98" s="547"/>
      <c r="S98" s="547"/>
      <c r="T98" s="547"/>
      <c r="U98" s="547"/>
      <c r="V98" s="523" t="s">
        <v>423</v>
      </c>
      <c r="W98" s="524">
        <v>91999914</v>
      </c>
      <c r="X98" s="526" t="s">
        <v>847</v>
      </c>
      <c r="Y98" s="526" t="s">
        <v>847</v>
      </c>
      <c r="Z98" s="292">
        <v>0.375</v>
      </c>
      <c r="AA98" s="292">
        <v>0.47916666666666669</v>
      </c>
      <c r="AB98" s="290">
        <v>9180</v>
      </c>
      <c r="AC98" s="479">
        <v>2.5</v>
      </c>
      <c r="AD98"/>
      <c r="AE98"/>
    </row>
    <row r="99" spans="1:32" s="5" customFormat="1">
      <c r="A99" s="527" t="s">
        <v>801</v>
      </c>
      <c r="B99" s="554"/>
      <c r="C99" s="554"/>
      <c r="D99" s="554"/>
      <c r="E99" s="554"/>
      <c r="F99" s="554"/>
      <c r="G99" s="554"/>
      <c r="H99" s="554"/>
      <c r="I99" s="554"/>
      <c r="J99" s="554"/>
      <c r="K99" s="554"/>
      <c r="L99" s="554"/>
      <c r="M99" s="554"/>
      <c r="N99" s="554">
        <f>AD122</f>
        <v>12</v>
      </c>
      <c r="O99" s="561"/>
      <c r="P99" s="558">
        <f t="shared" si="34"/>
        <v>12</v>
      </c>
      <c r="Q99" s="547"/>
      <c r="R99" s="547"/>
      <c r="S99" s="547"/>
      <c r="T99" s="547"/>
      <c r="U99" s="547"/>
      <c r="V99" s="514" t="s">
        <v>423</v>
      </c>
      <c r="W99" s="518">
        <v>91999912</v>
      </c>
      <c r="X99" s="444" t="s">
        <v>831</v>
      </c>
      <c r="Y99" s="444" t="s">
        <v>831</v>
      </c>
      <c r="Z99" s="515">
        <v>0.33333333333333331</v>
      </c>
      <c r="AA99" s="515">
        <v>0.75</v>
      </c>
      <c r="AB99" s="516">
        <v>9000</v>
      </c>
      <c r="AC99" s="517">
        <v>10</v>
      </c>
      <c r="AD99"/>
      <c r="AE99"/>
    </row>
    <row r="100" spans="1:32" s="5" customFormat="1">
      <c r="A100" s="527" t="s">
        <v>802</v>
      </c>
      <c r="B100" s="554"/>
      <c r="C100" s="554"/>
      <c r="D100" s="554"/>
      <c r="E100" s="554"/>
      <c r="F100" s="554"/>
      <c r="G100" s="554"/>
      <c r="H100" s="554"/>
      <c r="I100" s="554"/>
      <c r="J100" s="554"/>
      <c r="K100" s="554"/>
      <c r="L100" s="554">
        <f>AD123</f>
        <v>5</v>
      </c>
      <c r="M100" s="554"/>
      <c r="N100" s="554"/>
      <c r="O100" s="561"/>
      <c r="P100" s="558">
        <f t="shared" si="34"/>
        <v>5</v>
      </c>
      <c r="Q100" s="547"/>
      <c r="R100" s="547"/>
      <c r="S100" s="547"/>
      <c r="T100" s="547"/>
      <c r="U100" s="547"/>
      <c r="V100" s="514" t="s">
        <v>423</v>
      </c>
      <c r="W100" s="518">
        <v>91999912</v>
      </c>
      <c r="X100" s="444" t="s">
        <v>832</v>
      </c>
      <c r="Y100" s="444" t="s">
        <v>832</v>
      </c>
      <c r="Z100" s="515">
        <v>0.33333333333333331</v>
      </c>
      <c r="AA100" s="515">
        <v>0.75</v>
      </c>
      <c r="AB100" s="516">
        <v>9000</v>
      </c>
      <c r="AC100" s="517">
        <v>10</v>
      </c>
      <c r="AD100"/>
      <c r="AE100"/>
    </row>
    <row r="101" spans="1:32" s="5" customFormat="1">
      <c r="A101" s="527" t="s">
        <v>803</v>
      </c>
      <c r="B101" s="554"/>
      <c r="C101" s="554"/>
      <c r="D101" s="554"/>
      <c r="E101" s="554">
        <f>AD124</f>
        <v>15</v>
      </c>
      <c r="F101" s="554"/>
      <c r="G101" s="554"/>
      <c r="H101" s="554">
        <f>AD125</f>
        <v>12</v>
      </c>
      <c r="I101" s="554"/>
      <c r="J101" s="554"/>
      <c r="K101" s="554"/>
      <c r="L101" s="554"/>
      <c r="M101" s="554"/>
      <c r="N101" s="554"/>
      <c r="O101" s="561"/>
      <c r="P101" s="558">
        <f t="shared" si="34"/>
        <v>27</v>
      </c>
      <c r="Q101" s="547"/>
      <c r="R101" s="547"/>
      <c r="S101" s="547"/>
      <c r="T101" s="547"/>
      <c r="U101" s="547"/>
      <c r="V101" s="514" t="s">
        <v>423</v>
      </c>
      <c r="W101" s="518">
        <v>91999912</v>
      </c>
      <c r="X101" s="444" t="s">
        <v>833</v>
      </c>
      <c r="Y101" s="444" t="s">
        <v>833</v>
      </c>
      <c r="Z101" s="515">
        <v>0.33333333333333331</v>
      </c>
      <c r="AA101" s="515">
        <v>0.75</v>
      </c>
      <c r="AB101" s="516">
        <v>9000</v>
      </c>
      <c r="AC101" s="517">
        <v>10</v>
      </c>
      <c r="AD101"/>
      <c r="AE101"/>
    </row>
    <row r="102" spans="1:32" s="5" customFormat="1">
      <c r="A102" s="527" t="s">
        <v>804</v>
      </c>
      <c r="B102" s="554"/>
      <c r="C102" s="554"/>
      <c r="D102" s="554"/>
      <c r="E102" s="554"/>
      <c r="F102" s="554"/>
      <c r="G102" s="554"/>
      <c r="H102" s="554"/>
      <c r="I102" s="554"/>
      <c r="J102" s="554"/>
      <c r="K102" s="554">
        <f>AD126</f>
        <v>6</v>
      </c>
      <c r="L102" s="554"/>
      <c r="M102" s="554"/>
      <c r="N102" s="554"/>
      <c r="O102" s="561"/>
      <c r="P102" s="558">
        <f t="shared" si="34"/>
        <v>6</v>
      </c>
      <c r="Q102" s="547"/>
      <c r="R102" s="547"/>
      <c r="S102" s="547"/>
      <c r="T102" s="547"/>
      <c r="U102" s="547"/>
      <c r="V102" s="33"/>
      <c r="W102" s="45"/>
      <c r="X102" s="13"/>
      <c r="Y102" s="13"/>
      <c r="Z102" s="13"/>
      <c r="AA102" s="13"/>
      <c r="AB102" s="13"/>
      <c r="AC102" s="18"/>
      <c r="AD102"/>
      <c r="AE102"/>
    </row>
    <row r="103" spans="1:32" s="5" customFormat="1">
      <c r="A103" s="527" t="s">
        <v>805</v>
      </c>
      <c r="B103" s="554"/>
      <c r="C103" s="554">
        <f>AD127</f>
        <v>0.5</v>
      </c>
      <c r="D103" s="554"/>
      <c r="E103" s="554"/>
      <c r="F103" s="554"/>
      <c r="G103" s="554"/>
      <c r="H103" s="554"/>
      <c r="I103" s="554"/>
      <c r="J103" s="554"/>
      <c r="K103" s="554"/>
      <c r="L103" s="554"/>
      <c r="M103" s="554"/>
      <c r="N103" s="554"/>
      <c r="O103" s="561"/>
      <c r="P103" s="558">
        <f t="shared" si="34"/>
        <v>0.5</v>
      </c>
      <c r="Q103" s="547"/>
      <c r="R103" s="547"/>
      <c r="S103" s="547"/>
      <c r="T103" s="547"/>
      <c r="U103" s="547"/>
      <c r="V103" s="33"/>
      <c r="W103" s="45"/>
      <c r="X103" s="13"/>
      <c r="Y103" s="13"/>
      <c r="Z103" s="13"/>
      <c r="AA103" s="13"/>
      <c r="AB103" s="13"/>
      <c r="AC103" s="18"/>
      <c r="AD103"/>
      <c r="AE103"/>
    </row>
    <row r="104" spans="1:32" s="5" customFormat="1">
      <c r="A104" s="527" t="s">
        <v>806</v>
      </c>
      <c r="B104" s="554">
        <f>AD128</f>
        <v>11</v>
      </c>
      <c r="C104" s="554"/>
      <c r="D104" s="554"/>
      <c r="E104" s="554"/>
      <c r="F104" s="554"/>
      <c r="G104" s="554"/>
      <c r="H104" s="554"/>
      <c r="I104" s="554"/>
      <c r="J104" s="554"/>
      <c r="K104" s="554"/>
      <c r="L104" s="554"/>
      <c r="M104" s="554"/>
      <c r="N104" s="554"/>
      <c r="O104" s="561"/>
      <c r="P104" s="558">
        <f t="shared" si="34"/>
        <v>11</v>
      </c>
      <c r="Q104" s="547"/>
      <c r="R104" s="547"/>
      <c r="S104" s="547"/>
      <c r="T104" s="547"/>
      <c r="U104" s="547"/>
      <c r="V104" s="32"/>
      <c r="W104" s="44"/>
      <c r="X104" s="13"/>
      <c r="Y104" s="13"/>
      <c r="Z104" s="13"/>
      <c r="AA104" s="13"/>
      <c r="AB104" s="13"/>
      <c r="AC104" s="18"/>
      <c r="AD104"/>
      <c r="AE104"/>
    </row>
    <row r="105" spans="1:32" s="5" customFormat="1">
      <c r="A105" s="527" t="s">
        <v>807</v>
      </c>
      <c r="B105" s="554"/>
      <c r="C105" s="554"/>
      <c r="D105" s="554"/>
      <c r="E105" s="554"/>
      <c r="F105" s="554"/>
      <c r="G105" s="554"/>
      <c r="H105" s="554"/>
      <c r="I105" s="554"/>
      <c r="J105" s="554"/>
      <c r="K105" s="554">
        <v>1</v>
      </c>
      <c r="L105" s="554"/>
      <c r="M105" s="554"/>
      <c r="N105" s="554"/>
      <c r="O105" s="561"/>
      <c r="P105" s="558">
        <f t="shared" si="34"/>
        <v>1</v>
      </c>
      <c r="Q105" s="512"/>
      <c r="R105" s="547"/>
      <c r="S105" s="547"/>
      <c r="T105" s="547"/>
      <c r="U105" s="547"/>
      <c r="V105" s="24" t="s">
        <v>57</v>
      </c>
      <c r="W105" s="37" t="s">
        <v>67</v>
      </c>
      <c r="X105" s="37" t="s">
        <v>69</v>
      </c>
      <c r="Y105" s="37" t="s">
        <v>70</v>
      </c>
      <c r="Z105" s="62" t="s">
        <v>425</v>
      </c>
      <c r="AA105" s="363" t="s">
        <v>426</v>
      </c>
      <c r="AB105" s="37" t="s">
        <v>56</v>
      </c>
      <c r="AC105" s="38"/>
      <c r="AD105"/>
      <c r="AE105"/>
    </row>
    <row r="106" spans="1:32" s="5" customFormat="1">
      <c r="A106" s="527" t="s">
        <v>808</v>
      </c>
      <c r="B106" s="554"/>
      <c r="C106" s="554"/>
      <c r="D106" s="554"/>
      <c r="E106" s="554"/>
      <c r="F106" s="554"/>
      <c r="G106" s="554"/>
      <c r="H106" s="554"/>
      <c r="I106" s="554"/>
      <c r="J106" s="554"/>
      <c r="K106" s="554"/>
      <c r="L106" s="554">
        <f>AD130</f>
        <v>6</v>
      </c>
      <c r="M106" s="554"/>
      <c r="N106" s="554"/>
      <c r="O106" s="561"/>
      <c r="P106" s="558">
        <f t="shared" si="34"/>
        <v>6</v>
      </c>
      <c r="Q106" s="547"/>
      <c r="R106" s="547"/>
      <c r="S106" s="547"/>
      <c r="T106" s="547"/>
      <c r="U106" s="547"/>
      <c r="V106" s="514" t="s">
        <v>824</v>
      </c>
      <c r="W106" s="545">
        <v>91999901</v>
      </c>
      <c r="X106" s="546">
        <v>43678</v>
      </c>
      <c r="Y106" s="546">
        <v>43678</v>
      </c>
      <c r="Z106" s="515">
        <v>0.33333333333333331</v>
      </c>
      <c r="AA106" s="515">
        <v>0.70833333333333337</v>
      </c>
      <c r="AB106" s="516">
        <v>1000</v>
      </c>
      <c r="AC106" s="517">
        <v>1</v>
      </c>
      <c r="AD106" s="293">
        <v>1</v>
      </c>
      <c r="AE106"/>
    </row>
    <row r="107" spans="1:32" s="5" customFormat="1">
      <c r="A107" s="527" t="s">
        <v>809</v>
      </c>
      <c r="B107" s="554"/>
      <c r="C107" s="554"/>
      <c r="D107" s="554"/>
      <c r="E107" s="554"/>
      <c r="F107" s="554"/>
      <c r="G107" s="554"/>
      <c r="H107" s="554"/>
      <c r="I107" s="554"/>
      <c r="J107" s="554"/>
      <c r="K107" s="554"/>
      <c r="L107" s="554"/>
      <c r="M107" s="554"/>
      <c r="N107" s="554">
        <f>AD131</f>
        <v>9</v>
      </c>
      <c r="O107" s="561"/>
      <c r="P107" s="558">
        <f t="shared" si="34"/>
        <v>9</v>
      </c>
      <c r="Q107" s="547"/>
      <c r="R107" s="547"/>
      <c r="S107" s="547"/>
      <c r="T107" s="547"/>
      <c r="U107" s="547"/>
      <c r="V107" s="514" t="s">
        <v>824</v>
      </c>
      <c r="W107" s="545">
        <v>91999902</v>
      </c>
      <c r="X107" s="546">
        <v>43678</v>
      </c>
      <c r="Y107" s="546">
        <v>43678</v>
      </c>
      <c r="Z107" s="515">
        <v>0.5</v>
      </c>
      <c r="AA107" s="515">
        <v>0.70833333333333337</v>
      </c>
      <c r="AB107" s="516">
        <v>1000</v>
      </c>
      <c r="AC107" s="517">
        <v>0.5</v>
      </c>
      <c r="AD107" s="293">
        <v>0.5</v>
      </c>
      <c r="AE107"/>
    </row>
    <row r="108" spans="1:32" s="5" customFormat="1">
      <c r="A108" s="412"/>
      <c r="B108" s="331"/>
      <c r="C108" s="332"/>
      <c r="D108" s="332"/>
      <c r="E108" s="340"/>
      <c r="F108" s="332"/>
      <c r="G108" s="332"/>
      <c r="H108" s="332"/>
      <c r="I108" s="332"/>
      <c r="J108" s="332"/>
      <c r="K108" s="340"/>
      <c r="L108" s="340"/>
      <c r="M108" s="340"/>
      <c r="N108" s="340"/>
      <c r="O108" s="401"/>
      <c r="P108" s="346"/>
      <c r="Q108" s="347"/>
      <c r="R108" s="347"/>
      <c r="S108" s="347"/>
      <c r="T108" s="347"/>
      <c r="U108" s="347"/>
      <c r="V108" s="514" t="s">
        <v>292</v>
      </c>
      <c r="W108" s="545">
        <v>91999902</v>
      </c>
      <c r="X108" s="546">
        <v>43679</v>
      </c>
      <c r="Y108" s="546">
        <v>43692</v>
      </c>
      <c r="Z108" s="515"/>
      <c r="AA108" s="515"/>
      <c r="AB108" s="516">
        <v>2000</v>
      </c>
      <c r="AC108" s="517">
        <v>10</v>
      </c>
      <c r="AD108" s="293">
        <f>NETWORKDAYS(X108,Y108)</f>
        <v>10</v>
      </c>
      <c r="AE108" s="81"/>
      <c r="AF108" s="80"/>
    </row>
    <row r="109" spans="1:32" ht="15.6">
      <c r="A109" s="411" t="s">
        <v>485</v>
      </c>
      <c r="B109" s="331"/>
      <c r="C109" s="332"/>
      <c r="D109" s="332"/>
      <c r="E109" s="340"/>
      <c r="F109" s="332"/>
      <c r="G109" s="332"/>
      <c r="H109" s="332"/>
      <c r="I109" s="332"/>
      <c r="J109" s="332"/>
      <c r="K109" s="340"/>
      <c r="L109" s="340"/>
      <c r="M109" s="340"/>
      <c r="N109" s="340"/>
      <c r="O109" s="401"/>
      <c r="P109" s="346"/>
      <c r="Q109" s="347"/>
      <c r="R109" s="380"/>
      <c r="S109" s="380"/>
      <c r="T109" s="380"/>
      <c r="U109" s="380"/>
      <c r="V109" s="514" t="s">
        <v>292</v>
      </c>
      <c r="W109" s="545">
        <v>91999902</v>
      </c>
      <c r="X109" s="546">
        <v>43693</v>
      </c>
      <c r="Y109" s="546">
        <v>43693</v>
      </c>
      <c r="Z109" s="515">
        <v>0.33333333333333331</v>
      </c>
      <c r="AA109" s="515">
        <v>0.70833333333333337</v>
      </c>
      <c r="AB109" s="516">
        <v>5000</v>
      </c>
      <c r="AC109" s="517">
        <v>1</v>
      </c>
      <c r="AD109" s="293">
        <v>1</v>
      </c>
      <c r="AE109" s="81"/>
      <c r="AF109" s="81"/>
    </row>
    <row r="110" spans="1:32">
      <c r="A110" s="445" t="s">
        <v>490</v>
      </c>
      <c r="B110" s="332">
        <f>IF(OR(B19="A",B19="B"),IF(B11&lt;&gt;"C",ROUND(B165*12/52/40,0),B166),IF(B11&lt;&gt;"C",ROUND(B165*$B$4*12/52/40,0),B166*$B$4))</f>
        <v>40385</v>
      </c>
      <c r="C110" s="332">
        <f>IF(OR(C19="A",C19="B"),IF(C11&lt;&gt;"C",ROUND(C165*12/52/40,0),C166),IF(C11&lt;&gt;"C",ROUND(C165*$B$4*12/52/40,0),C166*$B$4))</f>
        <v>35769</v>
      </c>
      <c r="D110" s="332"/>
      <c r="E110" s="332">
        <f t="shared" ref="E110:O110" si="35">IF(OR(E19="A",E19="B"),IF(E11&lt;&gt;"C",ROUND(E165*12/52/40,0),E166),IF(E11&lt;&gt;"C",ROUND(E165*$B$4*12/52/40,0),E166*$B$4))</f>
        <v>63462</v>
      </c>
      <c r="F110" s="332">
        <f t="shared" si="35"/>
        <v>92308</v>
      </c>
      <c r="G110" s="332">
        <f t="shared" si="35"/>
        <v>5801250</v>
      </c>
      <c r="H110" s="332">
        <f t="shared" si="35"/>
        <v>736313</v>
      </c>
      <c r="I110" s="332">
        <f t="shared" si="35"/>
        <v>562275</v>
      </c>
      <c r="J110" s="332">
        <f t="shared" si="35"/>
        <v>317308</v>
      </c>
      <c r="K110" s="332">
        <f t="shared" si="35"/>
        <v>57692</v>
      </c>
      <c r="L110" s="332">
        <f t="shared" si="35"/>
        <v>66346</v>
      </c>
      <c r="M110" s="332">
        <f t="shared" si="35"/>
        <v>40385</v>
      </c>
      <c r="N110" s="332">
        <f t="shared" si="35"/>
        <v>46154</v>
      </c>
      <c r="O110" s="400">
        <f t="shared" si="35"/>
        <v>900000</v>
      </c>
      <c r="P110" s="346">
        <f t="shared" ref="P110:P118" si="36">SUM(B110:O110)</f>
        <v>8759647</v>
      </c>
      <c r="Q110" s="347"/>
      <c r="R110" s="347"/>
      <c r="S110" s="347"/>
      <c r="T110" s="347"/>
      <c r="U110" s="347"/>
      <c r="V110" s="514" t="s">
        <v>292</v>
      </c>
      <c r="W110" s="518">
        <v>91999901</v>
      </c>
      <c r="X110" s="546">
        <v>43679</v>
      </c>
      <c r="Y110" s="546">
        <v>43679</v>
      </c>
      <c r="Z110" s="515">
        <v>0.33333333333333331</v>
      </c>
      <c r="AA110" s="515">
        <v>0.5</v>
      </c>
      <c r="AB110" s="516">
        <v>4000</v>
      </c>
      <c r="AC110" s="517">
        <v>0.5</v>
      </c>
      <c r="AD110" s="293">
        <v>0.5</v>
      </c>
      <c r="AE110" s="81"/>
      <c r="AF110" s="81"/>
    </row>
    <row r="111" spans="1:32" ht="13.2" customHeight="1">
      <c r="A111" s="445" t="s">
        <v>501</v>
      </c>
      <c r="B111" s="332">
        <f>IF(OR(B19="A",B19="B"),ROUND(SUM(B165,B167,B168,B170)*12/52/5*B13%,0),ROUND(SUM(B165,B167,B168,B170)*12/52/5*$B$4*B13%,0))</f>
        <v>581538</v>
      </c>
      <c r="C111" s="332">
        <f>IF(OR(C19="A",C19="B"),ROUND(SUM(C165,C167,C168,C170)*12/52/5*C13%,0),ROUND(SUM(C165,C167,C168,C170)*12/52/5*$B$4*C13%,0))</f>
        <v>266769</v>
      </c>
      <c r="D111" s="332"/>
      <c r="E111" s="332">
        <f t="shared" ref="E111:O111" si="37">IF(OR(E19="A",E19="B"),ROUND(SUM(E165,E167,E168,E170)*12/52/5*E13%,0),ROUND(SUM(E165,E167,E168,E170)*12/52/5*$B$4*E13%,0))</f>
        <v>669231</v>
      </c>
      <c r="F111" s="332">
        <f t="shared" si="37"/>
        <v>900000</v>
      </c>
      <c r="G111" s="332">
        <f t="shared" si="37"/>
        <v>0</v>
      </c>
      <c r="H111" s="332">
        <f t="shared" si="37"/>
        <v>3935925</v>
      </c>
      <c r="I111" s="332">
        <f t="shared" si="37"/>
        <v>4712400</v>
      </c>
      <c r="J111" s="332">
        <f t="shared" si="37"/>
        <v>1730769</v>
      </c>
      <c r="K111" s="332">
        <f t="shared" si="37"/>
        <v>761538</v>
      </c>
      <c r="L111" s="332">
        <f t="shared" si="37"/>
        <v>692308</v>
      </c>
      <c r="M111" s="332">
        <f t="shared" si="37"/>
        <v>646154</v>
      </c>
      <c r="N111" s="332">
        <f t="shared" si="37"/>
        <v>662308</v>
      </c>
      <c r="O111" s="400">
        <f t="shared" si="37"/>
        <v>0</v>
      </c>
      <c r="P111" s="346">
        <f t="shared" si="36"/>
        <v>15558940</v>
      </c>
      <c r="Q111" s="347"/>
      <c r="R111" s="347"/>
      <c r="S111" s="347"/>
      <c r="T111" s="347"/>
      <c r="U111" s="347"/>
      <c r="V111" s="514" t="s">
        <v>292</v>
      </c>
      <c r="W111" s="518">
        <v>91999907</v>
      </c>
      <c r="X111" s="546">
        <v>43678</v>
      </c>
      <c r="Y111" s="546">
        <v>43678</v>
      </c>
      <c r="Z111" s="515">
        <v>0.33333333333333331</v>
      </c>
      <c r="AA111" s="515">
        <v>0.70833333333333337</v>
      </c>
      <c r="AB111" s="516">
        <v>4040</v>
      </c>
      <c r="AC111" s="517">
        <v>1</v>
      </c>
      <c r="AD111" s="293">
        <v>1</v>
      </c>
      <c r="AE111" s="81"/>
      <c r="AF111" s="81"/>
    </row>
    <row r="112" spans="1:32">
      <c r="A112" s="445" t="s">
        <v>502</v>
      </c>
      <c r="B112" s="332">
        <f>IF(OR(B19="A",B19="B"),ROUND(B165/B16,0),ROUND(B165*$B$4/B16,0))</f>
        <v>333333</v>
      </c>
      <c r="C112" s="332">
        <f>IF(OR(C19="A",C19="B"),ROUND(C165/C16,0),ROUND(C165*$B$4/C16,0))</f>
        <v>295238</v>
      </c>
      <c r="D112" s="332"/>
      <c r="E112" s="332">
        <f t="shared" ref="E112:O112" si="38">IF(OR(E19="A",E19="B"),ROUND(E165/E16,0),ROUND(E165*$B$4/E16,0))</f>
        <v>523810</v>
      </c>
      <c r="F112" s="332">
        <f t="shared" si="38"/>
        <v>761905</v>
      </c>
      <c r="G112" s="332">
        <f t="shared" si="38"/>
        <v>0</v>
      </c>
      <c r="H112" s="332">
        <f t="shared" si="38"/>
        <v>6077500</v>
      </c>
      <c r="I112" s="332">
        <f t="shared" si="38"/>
        <v>4641000</v>
      </c>
      <c r="J112" s="332">
        <f t="shared" si="38"/>
        <v>2619048</v>
      </c>
      <c r="K112" s="332">
        <f t="shared" si="38"/>
        <v>476190</v>
      </c>
      <c r="L112" s="332">
        <f t="shared" si="38"/>
        <v>547619</v>
      </c>
      <c r="M112" s="332">
        <f t="shared" si="38"/>
        <v>333333</v>
      </c>
      <c r="N112" s="332">
        <f t="shared" si="38"/>
        <v>380952</v>
      </c>
      <c r="O112" s="400">
        <f t="shared" si="38"/>
        <v>0</v>
      </c>
      <c r="P112" s="346">
        <f t="shared" si="36"/>
        <v>16989928</v>
      </c>
      <c r="Q112" s="347"/>
      <c r="R112" s="347"/>
      <c r="S112" s="347"/>
      <c r="T112" s="347"/>
      <c r="U112" s="347"/>
      <c r="V112" s="514" t="s">
        <v>292</v>
      </c>
      <c r="W112" s="518">
        <v>91999908</v>
      </c>
      <c r="X112" s="546">
        <v>43678</v>
      </c>
      <c r="Y112" s="546">
        <v>43678</v>
      </c>
      <c r="Z112" s="515">
        <v>0.33333333333333331</v>
      </c>
      <c r="AA112" s="515">
        <v>0.70833333333333337</v>
      </c>
      <c r="AB112" s="516">
        <v>4040</v>
      </c>
      <c r="AC112" s="517">
        <v>1</v>
      </c>
      <c r="AD112" s="293">
        <v>1</v>
      </c>
      <c r="AE112" s="81"/>
      <c r="AF112" s="81"/>
    </row>
    <row r="113" spans="1:32">
      <c r="A113" s="445" t="s">
        <v>628</v>
      </c>
      <c r="B113" s="332">
        <f>IF(OR(B19="A",B19="B"),ROUND(SUM(B167,B168,B169,B171:B173)/B16,0),ROUND(SUM(B167,B168,B169,B171:B173)*$B$4/B16,0))</f>
        <v>587143</v>
      </c>
      <c r="C113" s="332">
        <f>IF(OR(C19="A",C19="B"),ROUND(SUM(C167,C168,C169,C171:C173)/C16,0),ROUND(SUM(C167,C168,C169,C171:C173)*$B$4/C16,0))</f>
        <v>575714</v>
      </c>
      <c r="D113" s="332"/>
      <c r="E113" s="332">
        <f t="shared" ref="E113:O113" si="39">IF(OR(E19="A",E19="B"),ROUND(SUM(E167,E168,E169,E171:E173)/E16,0),ROUND(SUM(E167,E168,E169,E171:E173)*$B$4/E16,0))</f>
        <v>487143</v>
      </c>
      <c r="F113" s="332">
        <f t="shared" si="39"/>
        <v>487143</v>
      </c>
      <c r="G113" s="332">
        <f t="shared" si="39"/>
        <v>0</v>
      </c>
      <c r="H113" s="332">
        <f t="shared" si="39"/>
        <v>2071875</v>
      </c>
      <c r="I113" s="332">
        <f t="shared" si="39"/>
        <v>248625</v>
      </c>
      <c r="J113" s="332">
        <f t="shared" si="39"/>
        <v>1272857</v>
      </c>
      <c r="K113" s="332">
        <f t="shared" si="39"/>
        <v>630000</v>
      </c>
      <c r="L113" s="332">
        <f t="shared" si="39"/>
        <v>487143</v>
      </c>
      <c r="M113" s="332">
        <f t="shared" si="39"/>
        <v>653810</v>
      </c>
      <c r="N113" s="332">
        <f t="shared" si="39"/>
        <v>622857</v>
      </c>
      <c r="O113" s="400">
        <f t="shared" si="39"/>
        <v>0</v>
      </c>
      <c r="P113" s="346">
        <f t="shared" si="36"/>
        <v>8124310</v>
      </c>
      <c r="Q113" s="347"/>
      <c r="R113" s="347"/>
      <c r="S113" s="347"/>
      <c r="T113" s="347"/>
      <c r="U113" s="347"/>
      <c r="V113" s="514" t="s">
        <v>292</v>
      </c>
      <c r="W113" s="545">
        <v>91999902</v>
      </c>
      <c r="X113" s="546">
        <v>43696</v>
      </c>
      <c r="Y113" s="546">
        <v>43696</v>
      </c>
      <c r="Z113" s="515">
        <v>0.33333333333333331</v>
      </c>
      <c r="AA113" s="515">
        <v>0.70833333333333337</v>
      </c>
      <c r="AB113" s="516">
        <v>4013</v>
      </c>
      <c r="AC113" s="517">
        <v>1</v>
      </c>
      <c r="AD113" s="293">
        <v>1</v>
      </c>
      <c r="AE113" s="81"/>
      <c r="AF113" s="81"/>
    </row>
    <row r="114" spans="1:32">
      <c r="A114" s="445" t="s">
        <v>503</v>
      </c>
      <c r="B114" s="7">
        <f>B14/B16*100%</f>
        <v>1</v>
      </c>
      <c r="C114" s="7">
        <f>C14/C16*100%</f>
        <v>1</v>
      </c>
      <c r="D114" s="7"/>
      <c r="E114" s="7">
        <f t="shared" ref="E114:O114" si="40">E14/E16*100%</f>
        <v>1</v>
      </c>
      <c r="F114" s="7">
        <f t="shared" si="40"/>
        <v>1</v>
      </c>
      <c r="G114" s="7">
        <f t="shared" si="40"/>
        <v>1</v>
      </c>
      <c r="H114" s="7">
        <f t="shared" si="40"/>
        <v>1</v>
      </c>
      <c r="I114" s="7">
        <f t="shared" si="40"/>
        <v>1</v>
      </c>
      <c r="J114" s="7">
        <f t="shared" si="40"/>
        <v>1</v>
      </c>
      <c r="K114" s="7">
        <f t="shared" si="40"/>
        <v>1</v>
      </c>
      <c r="L114" s="7">
        <f t="shared" si="40"/>
        <v>1</v>
      </c>
      <c r="M114" s="7">
        <f t="shared" si="40"/>
        <v>1</v>
      </c>
      <c r="N114" s="7">
        <f t="shared" si="40"/>
        <v>1</v>
      </c>
      <c r="O114" s="12">
        <f t="shared" si="40"/>
        <v>1</v>
      </c>
      <c r="P114" s="478">
        <f t="shared" si="36"/>
        <v>13</v>
      </c>
      <c r="Q114" s="347"/>
      <c r="R114" s="347"/>
      <c r="S114" s="347"/>
      <c r="T114" s="347"/>
      <c r="U114" s="347"/>
      <c r="V114" s="514" t="s">
        <v>292</v>
      </c>
      <c r="W114" s="545">
        <v>91999902</v>
      </c>
      <c r="X114" s="546" t="s">
        <v>1194</v>
      </c>
      <c r="Y114" s="546" t="s">
        <v>1194</v>
      </c>
      <c r="Z114" s="515">
        <v>0.33333333333333331</v>
      </c>
      <c r="AA114" s="515">
        <v>0.70833333333333337</v>
      </c>
      <c r="AB114" s="516">
        <v>4023</v>
      </c>
      <c r="AC114" s="517">
        <v>1</v>
      </c>
      <c r="AD114" s="293">
        <v>1</v>
      </c>
      <c r="AE114" s="81"/>
      <c r="AF114" s="81"/>
    </row>
    <row r="115" spans="1:32">
      <c r="A115" s="445" t="s">
        <v>504</v>
      </c>
      <c r="B115" s="7">
        <f t="shared" ref="B115:O115" si="41">(B14-B174)/261*100%</f>
        <v>6.1302681992337162E-2</v>
      </c>
      <c r="C115" s="7">
        <f t="shared" si="41"/>
        <v>7.2796934865900387E-2</v>
      </c>
      <c r="D115" s="7">
        <f t="shared" si="41"/>
        <v>0</v>
      </c>
      <c r="E115" s="7">
        <f t="shared" si="41"/>
        <v>8.0459770114942528E-2</v>
      </c>
      <c r="F115" s="7">
        <f t="shared" si="41"/>
        <v>8.0459770114942528E-2</v>
      </c>
      <c r="G115" s="7">
        <f t="shared" si="41"/>
        <v>8.0459770114942528E-2</v>
      </c>
      <c r="H115" s="7">
        <f t="shared" si="41"/>
        <v>8.0459770114942528E-2</v>
      </c>
      <c r="I115" s="7">
        <f t="shared" si="41"/>
        <v>8.0459770114942528E-2</v>
      </c>
      <c r="J115" s="7">
        <f t="shared" si="41"/>
        <v>8.0459770114942528E-2</v>
      </c>
      <c r="K115" s="7">
        <f t="shared" si="41"/>
        <v>7.662835249042145E-2</v>
      </c>
      <c r="L115" s="7">
        <f t="shared" si="41"/>
        <v>8.0459770114942528E-2</v>
      </c>
      <c r="M115" s="7">
        <f t="shared" si="41"/>
        <v>3.4482758620689655E-2</v>
      </c>
      <c r="N115" s="7">
        <f t="shared" si="41"/>
        <v>3.4482758620689655E-2</v>
      </c>
      <c r="O115" s="7">
        <f t="shared" si="41"/>
        <v>8.0459770114942528E-2</v>
      </c>
      <c r="P115" s="478">
        <f t="shared" si="36"/>
        <v>0.92337164750957845</v>
      </c>
      <c r="Q115" s="347"/>
      <c r="R115" s="347"/>
      <c r="S115" s="347"/>
      <c r="T115" s="347"/>
      <c r="U115" s="347"/>
      <c r="V115" s="514" t="s">
        <v>292</v>
      </c>
      <c r="W115" s="545">
        <v>91999904</v>
      </c>
      <c r="X115" s="546">
        <v>43682</v>
      </c>
      <c r="Y115" s="546">
        <v>43688</v>
      </c>
      <c r="Z115" s="515"/>
      <c r="AA115" s="515"/>
      <c r="AB115" s="516">
        <v>4045</v>
      </c>
      <c r="AC115" s="517">
        <v>5</v>
      </c>
      <c r="AD115" s="293">
        <f t="shared" ref="AD115:AD126" si="42">NETWORKDAYS(X115,Y115)</f>
        <v>5</v>
      </c>
      <c r="AE115" s="81"/>
      <c r="AF115" s="81"/>
    </row>
    <row r="116" spans="1:32">
      <c r="A116" s="445" t="s">
        <v>505</v>
      </c>
      <c r="B116" s="7">
        <f>B175/B16*100%</f>
        <v>0</v>
      </c>
      <c r="C116" s="7">
        <f>C175/C16*100%</f>
        <v>2.3809523809523808E-2</v>
      </c>
      <c r="D116" s="7"/>
      <c r="E116" s="7">
        <f t="shared" ref="E116:O116" si="43">E175/E16*100%</f>
        <v>0</v>
      </c>
      <c r="F116" s="7">
        <f t="shared" si="43"/>
        <v>0</v>
      </c>
      <c r="G116" s="7">
        <f t="shared" si="43"/>
        <v>0</v>
      </c>
      <c r="H116" s="7">
        <f t="shared" si="43"/>
        <v>0</v>
      </c>
      <c r="I116" s="7">
        <f t="shared" si="43"/>
        <v>0</v>
      </c>
      <c r="J116" s="7">
        <f t="shared" si="43"/>
        <v>0</v>
      </c>
      <c r="K116" s="7">
        <f t="shared" si="43"/>
        <v>0.2857142857142857</v>
      </c>
      <c r="L116" s="7">
        <f t="shared" si="43"/>
        <v>0</v>
      </c>
      <c r="M116" s="7">
        <f t="shared" si="43"/>
        <v>0</v>
      </c>
      <c r="N116" s="7">
        <f t="shared" si="43"/>
        <v>0</v>
      </c>
      <c r="O116" s="12">
        <f t="shared" si="43"/>
        <v>0</v>
      </c>
      <c r="P116" s="478">
        <f t="shared" si="36"/>
        <v>0.30952380952380953</v>
      </c>
      <c r="Q116" s="347"/>
      <c r="R116" s="347"/>
      <c r="S116" s="347"/>
      <c r="T116" s="347"/>
      <c r="U116" s="347"/>
      <c r="V116" s="514" t="s">
        <v>292</v>
      </c>
      <c r="W116" s="545">
        <v>91999905</v>
      </c>
      <c r="X116" s="546">
        <v>43682</v>
      </c>
      <c r="Y116" s="546">
        <v>43688</v>
      </c>
      <c r="Z116" s="515"/>
      <c r="AA116" s="515"/>
      <c r="AB116" s="516">
        <v>4046</v>
      </c>
      <c r="AC116" s="517">
        <v>5</v>
      </c>
      <c r="AD116" s="293">
        <f t="shared" si="42"/>
        <v>5</v>
      </c>
      <c r="AE116" s="81"/>
      <c r="AF116" s="81"/>
    </row>
    <row r="117" spans="1:32">
      <c r="A117" s="451" t="s">
        <v>494</v>
      </c>
      <c r="B117" s="332">
        <f>ROUND(AA25*B17/365,0)</f>
        <v>657534</v>
      </c>
      <c r="C117" s="332">
        <f>ROUND(AA26*C17/365,0)</f>
        <v>657534</v>
      </c>
      <c r="E117" s="332">
        <f>ROUND(AA27*E17/365,0)</f>
        <v>657534</v>
      </c>
      <c r="F117" s="332">
        <f>ROUND(AA28*F17/365,0)</f>
        <v>657534</v>
      </c>
      <c r="G117" s="332"/>
      <c r="H117" s="332">
        <f>ROUND(AA29*G17/365,0)</f>
        <v>657534</v>
      </c>
      <c r="I117" s="332"/>
      <c r="J117" s="332"/>
      <c r="K117" s="340"/>
      <c r="L117" s="340"/>
      <c r="M117" s="340"/>
      <c r="N117" s="340"/>
      <c r="O117" s="401"/>
      <c r="P117" s="346">
        <f t="shared" si="36"/>
        <v>3287670</v>
      </c>
      <c r="Q117" s="537"/>
      <c r="R117" s="537"/>
      <c r="S117" s="537"/>
      <c r="T117" s="537"/>
      <c r="U117" s="537"/>
      <c r="V117" s="514" t="s">
        <v>292</v>
      </c>
      <c r="W117" s="518">
        <v>91999909</v>
      </c>
      <c r="X117" s="546">
        <v>43678</v>
      </c>
      <c r="Y117" s="546">
        <v>43681</v>
      </c>
      <c r="Z117" s="515"/>
      <c r="AA117" s="515"/>
      <c r="AB117" s="516">
        <v>4047</v>
      </c>
      <c r="AC117" s="517">
        <v>2</v>
      </c>
      <c r="AD117" s="293">
        <f t="shared" si="42"/>
        <v>2</v>
      </c>
      <c r="AE117" s="81"/>
      <c r="AF117" s="81"/>
    </row>
    <row r="118" spans="1:32">
      <c r="A118" s="445" t="s">
        <v>536</v>
      </c>
      <c r="B118" s="332">
        <f>ROUND(AA30*B17/365,0)</f>
        <v>575342</v>
      </c>
      <c r="C118" s="332">
        <f>ROUND(AA31*C17/365,0)</f>
        <v>575342</v>
      </c>
      <c r="E118" s="332">
        <f>ROUND(AA32*E17/365,0)</f>
        <v>575342</v>
      </c>
      <c r="F118" s="332">
        <f>ROUND(AA33*F17/365,0)</f>
        <v>575342</v>
      </c>
      <c r="G118" s="332"/>
      <c r="H118" s="332">
        <f>ROUND(AA34*G17/365,0)</f>
        <v>575342</v>
      </c>
      <c r="I118" s="332"/>
      <c r="J118" s="332"/>
      <c r="K118" s="332"/>
      <c r="L118" s="332"/>
      <c r="M118" s="332"/>
      <c r="N118" s="332"/>
      <c r="O118" s="400"/>
      <c r="P118" s="346">
        <f t="shared" si="36"/>
        <v>2876710</v>
      </c>
      <c r="R118" s="347"/>
      <c r="S118" s="347"/>
      <c r="T118" s="347"/>
      <c r="U118" s="347"/>
      <c r="V118" s="514" t="s">
        <v>292</v>
      </c>
      <c r="W118" s="518">
        <v>91999901</v>
      </c>
      <c r="X118" s="546">
        <v>43680</v>
      </c>
      <c r="Y118" s="546">
        <v>43688</v>
      </c>
      <c r="Z118" s="515"/>
      <c r="AA118" s="515"/>
      <c r="AB118" s="516">
        <v>3000</v>
      </c>
      <c r="AC118" s="517">
        <v>5</v>
      </c>
      <c r="AD118" s="293">
        <f>NETWORKDAYS(X118,Y118)</f>
        <v>5</v>
      </c>
      <c r="AE118" s="81"/>
      <c r="AF118" s="81"/>
    </row>
    <row r="119" spans="1:32">
      <c r="A119" s="412" t="s">
        <v>613</v>
      </c>
      <c r="B119" s="402"/>
      <c r="C119" s="80"/>
      <c r="D119" s="332"/>
      <c r="E119" s="332"/>
      <c r="F119" s="332"/>
      <c r="G119" s="332"/>
      <c r="H119" s="332">
        <f>AA35*B4</f>
        <v>2320500</v>
      </c>
      <c r="I119" s="332">
        <f>AA36*B4</f>
        <v>2320500</v>
      </c>
      <c r="J119" s="332"/>
      <c r="K119" s="340"/>
      <c r="L119" s="340"/>
      <c r="M119" s="340"/>
      <c r="N119" s="340"/>
      <c r="O119" s="401"/>
      <c r="P119" s="355">
        <f>SUM(D119:O119)</f>
        <v>4641000</v>
      </c>
      <c r="Q119" s="379"/>
      <c r="R119" s="379"/>
      <c r="S119" s="379"/>
      <c r="T119" s="379"/>
      <c r="U119" s="379"/>
      <c r="V119" s="514" t="s">
        <v>292</v>
      </c>
      <c r="W119" s="518">
        <v>91999902</v>
      </c>
      <c r="X119" s="546">
        <v>43699</v>
      </c>
      <c r="Y119" s="546">
        <v>43702</v>
      </c>
      <c r="Z119" s="515"/>
      <c r="AA119" s="515"/>
      <c r="AB119" s="516">
        <v>3000</v>
      </c>
      <c r="AC119" s="517">
        <v>2</v>
      </c>
      <c r="AD119" s="293">
        <f>NETWORKDAYS(X119,Y119)</f>
        <v>2</v>
      </c>
      <c r="AE119" s="81"/>
      <c r="AF119" s="81"/>
    </row>
    <row r="120" spans="1:32" s="160" customFormat="1">
      <c r="A120" s="412" t="s">
        <v>614</v>
      </c>
      <c r="B120" s="402"/>
      <c r="C120" s="80"/>
      <c r="D120" s="332"/>
      <c r="E120" s="332"/>
      <c r="F120" s="332"/>
      <c r="G120" s="332"/>
      <c r="H120" s="332">
        <f>AA37*B4</f>
        <v>4641000</v>
      </c>
      <c r="I120" s="332">
        <f>AA38*B4</f>
        <v>4641000</v>
      </c>
      <c r="J120" s="332"/>
      <c r="K120" s="340"/>
      <c r="L120" s="340"/>
      <c r="M120" s="340"/>
      <c r="N120" s="340"/>
      <c r="O120" s="401"/>
      <c r="P120" s="355">
        <f>SUM(D120:O120)</f>
        <v>9282000</v>
      </c>
      <c r="Q120" s="347"/>
      <c r="R120" s="347"/>
      <c r="S120" s="347"/>
      <c r="T120" s="347"/>
      <c r="U120" s="347"/>
      <c r="V120" s="514" t="s">
        <v>292</v>
      </c>
      <c r="W120" s="518">
        <v>91999910</v>
      </c>
      <c r="X120" s="546">
        <v>43678</v>
      </c>
      <c r="Y120" s="546">
        <v>43678</v>
      </c>
      <c r="Z120" s="515">
        <v>0.33333333333333331</v>
      </c>
      <c r="AA120" s="515">
        <v>0.70833333333333337</v>
      </c>
      <c r="AB120" s="516">
        <v>3000</v>
      </c>
      <c r="AC120" s="517">
        <v>1</v>
      </c>
      <c r="AD120" s="293">
        <f t="shared" si="42"/>
        <v>1</v>
      </c>
      <c r="AE120" s="81"/>
      <c r="AF120" s="288"/>
    </row>
    <row r="121" spans="1:32">
      <c r="A121" s="412"/>
      <c r="B121" s="331"/>
      <c r="C121" s="332"/>
      <c r="D121" s="332"/>
      <c r="E121" s="340"/>
      <c r="F121" s="332"/>
      <c r="G121" s="332"/>
      <c r="H121" s="332"/>
      <c r="I121" s="332"/>
      <c r="J121" s="332"/>
      <c r="K121" s="340"/>
      <c r="L121" s="340"/>
      <c r="M121" s="340"/>
      <c r="N121" s="340"/>
      <c r="O121" s="401"/>
      <c r="P121" s="346"/>
      <c r="R121" s="347"/>
      <c r="S121" s="347"/>
      <c r="T121" s="347"/>
      <c r="U121" s="347"/>
      <c r="V121" s="514" t="s">
        <v>292</v>
      </c>
      <c r="W121" s="518">
        <v>91999912</v>
      </c>
      <c r="X121" s="546">
        <v>43678</v>
      </c>
      <c r="Y121" s="546">
        <v>43695</v>
      </c>
      <c r="Z121" s="515"/>
      <c r="AA121" s="515"/>
      <c r="AB121" s="516">
        <v>3040</v>
      </c>
      <c r="AC121" s="517">
        <v>12</v>
      </c>
      <c r="AD121" s="293">
        <f t="shared" si="42"/>
        <v>12</v>
      </c>
      <c r="AE121" s="288"/>
      <c r="AF121" s="81"/>
    </row>
    <row r="122" spans="1:32">
      <c r="A122" s="412" t="s">
        <v>579</v>
      </c>
      <c r="B122" s="331">
        <f>SUM(B25:B41)</f>
        <v>31675143</v>
      </c>
      <c r="C122" s="332">
        <f>SUM(C25:C41)</f>
        <v>19711592</v>
      </c>
      <c r="D122" s="332"/>
      <c r="E122" s="332">
        <f t="shared" ref="E122:O122" si="44">SUM(E25:E41)</f>
        <v>10255000</v>
      </c>
      <c r="F122" s="332">
        <f t="shared" si="44"/>
        <v>29730000</v>
      </c>
      <c r="G122" s="332">
        <f t="shared" si="44"/>
        <v>29006250</v>
      </c>
      <c r="H122" s="332">
        <f t="shared" si="44"/>
        <v>98673987</v>
      </c>
      <c r="I122" s="332">
        <f t="shared" si="44"/>
        <v>100361625</v>
      </c>
      <c r="J122" s="332">
        <f t="shared" si="44"/>
        <v>85230000</v>
      </c>
      <c r="K122" s="332">
        <f t="shared" si="44"/>
        <v>41487728</v>
      </c>
      <c r="L122" s="332">
        <f t="shared" si="44"/>
        <v>20630353</v>
      </c>
      <c r="M122" s="332">
        <f t="shared" si="44"/>
        <v>15345824</v>
      </c>
      <c r="N122" s="332">
        <f t="shared" si="44"/>
        <v>4458199</v>
      </c>
      <c r="O122" s="400">
        <f t="shared" si="44"/>
        <v>4500000</v>
      </c>
      <c r="P122" s="346">
        <f t="shared" ref="P122:P156" si="45">SUM(B122:O122)</f>
        <v>491065701</v>
      </c>
      <c r="V122" s="514" t="s">
        <v>292</v>
      </c>
      <c r="W122" s="545">
        <v>91999913</v>
      </c>
      <c r="X122" s="546">
        <v>43678</v>
      </c>
      <c r="Y122" s="546">
        <v>43695</v>
      </c>
      <c r="Z122" s="515"/>
      <c r="AA122" s="515"/>
      <c r="AB122" s="516">
        <v>3041</v>
      </c>
      <c r="AC122" s="517">
        <v>12</v>
      </c>
      <c r="AD122" s="293">
        <f t="shared" si="42"/>
        <v>12</v>
      </c>
      <c r="AE122" s="81"/>
      <c r="AF122" s="81"/>
    </row>
    <row r="123" spans="1:32" s="5" customFormat="1">
      <c r="A123" s="445" t="s">
        <v>580</v>
      </c>
      <c r="B123" s="332">
        <f t="shared" ref="B123:O123" si="46">SUM(B25:B28,B30:B36,B43,B44,B83)</f>
        <v>29297455</v>
      </c>
      <c r="C123" s="332">
        <f t="shared" si="46"/>
        <v>17528682</v>
      </c>
      <c r="D123" s="332">
        <f t="shared" si="46"/>
        <v>0</v>
      </c>
      <c r="E123" s="332">
        <f t="shared" si="46"/>
        <v>7974701</v>
      </c>
      <c r="F123" s="332">
        <f t="shared" si="46"/>
        <v>27157534</v>
      </c>
      <c r="G123" s="332">
        <f t="shared" si="46"/>
        <v>29006250</v>
      </c>
      <c r="H123" s="332">
        <f t="shared" si="46"/>
        <v>108411460</v>
      </c>
      <c r="I123" s="332">
        <f t="shared" si="46"/>
        <v>100361625</v>
      </c>
      <c r="J123" s="332">
        <f t="shared" si="46"/>
        <v>82000000</v>
      </c>
      <c r="K123" s="332">
        <f t="shared" si="46"/>
        <v>38257728</v>
      </c>
      <c r="L123" s="332">
        <f t="shared" si="46"/>
        <v>17400353</v>
      </c>
      <c r="M123" s="332">
        <f t="shared" si="46"/>
        <v>10904274</v>
      </c>
      <c r="N123" s="332">
        <f t="shared" si="46"/>
        <v>1228199</v>
      </c>
      <c r="O123" s="332">
        <f t="shared" si="46"/>
        <v>4500000</v>
      </c>
      <c r="P123" s="346">
        <f t="shared" si="45"/>
        <v>474028261</v>
      </c>
      <c r="Q123"/>
      <c r="R123"/>
      <c r="S123"/>
      <c r="T123"/>
      <c r="U123"/>
      <c r="V123" s="514" t="s">
        <v>292</v>
      </c>
      <c r="W123" s="545">
        <v>91999911</v>
      </c>
      <c r="X123" s="546">
        <v>43678</v>
      </c>
      <c r="Y123" s="546">
        <v>43684</v>
      </c>
      <c r="Z123" s="515"/>
      <c r="AA123" s="515"/>
      <c r="AB123" s="516">
        <v>3057</v>
      </c>
      <c r="AC123" s="517">
        <v>5</v>
      </c>
      <c r="AD123" s="293">
        <f t="shared" si="42"/>
        <v>5</v>
      </c>
      <c r="AE123" s="81"/>
      <c r="AF123" s="80"/>
    </row>
    <row r="124" spans="1:32" s="5" customFormat="1">
      <c r="A124" s="445" t="s">
        <v>581</v>
      </c>
      <c r="B124" s="332">
        <f>IF(B15&lt;B16/2,0,IF(OR(B19="A",B19="B"),SUM(B165,B167,B168,B170),B179))</f>
        <v>0</v>
      </c>
      <c r="C124" s="332">
        <f>IF(C15&lt;C16/2,0,IF(OR(C19="A",C19="B"),SUM(C165,C167,C168,C170),C179))</f>
        <v>11560000</v>
      </c>
      <c r="D124" s="332"/>
      <c r="E124" s="332">
        <f t="shared" ref="E124:O124" si="47">IF(E15&lt;E16/2,0,IF(OR(E19="A",E19="B"),SUM(E165,E167,E168,E170),E179))</f>
        <v>0</v>
      </c>
      <c r="F124" s="332">
        <f t="shared" si="47"/>
        <v>19500000</v>
      </c>
      <c r="G124" s="332">
        <f t="shared" si="47"/>
        <v>0</v>
      </c>
      <c r="H124" s="332">
        <f t="shared" si="47"/>
        <v>0</v>
      </c>
      <c r="I124" s="332">
        <f t="shared" si="47"/>
        <v>96350000</v>
      </c>
      <c r="J124" s="332">
        <f t="shared" si="47"/>
        <v>75000000</v>
      </c>
      <c r="K124" s="332">
        <f t="shared" si="47"/>
        <v>16500000</v>
      </c>
      <c r="L124" s="332">
        <f t="shared" si="47"/>
        <v>0</v>
      </c>
      <c r="M124" s="332">
        <f t="shared" si="47"/>
        <v>0</v>
      </c>
      <c r="N124" s="332">
        <f t="shared" si="47"/>
        <v>0</v>
      </c>
      <c r="O124" s="400">
        <f t="shared" si="47"/>
        <v>0</v>
      </c>
      <c r="P124" s="346">
        <f t="shared" si="45"/>
        <v>218910000</v>
      </c>
      <c r="Q124"/>
      <c r="R124"/>
      <c r="S124"/>
      <c r="T124"/>
      <c r="U124"/>
      <c r="V124" s="514" t="s">
        <v>292</v>
      </c>
      <c r="W124" s="545">
        <v>91999904</v>
      </c>
      <c r="X124" s="546">
        <v>43689</v>
      </c>
      <c r="Y124" s="546">
        <v>43708</v>
      </c>
      <c r="Z124" s="515"/>
      <c r="AA124" s="515"/>
      <c r="AB124" s="516">
        <v>3042</v>
      </c>
      <c r="AC124" s="517">
        <v>15</v>
      </c>
      <c r="AD124" s="293">
        <f t="shared" si="42"/>
        <v>15</v>
      </c>
      <c r="AE124" s="81"/>
      <c r="AF124" s="80"/>
    </row>
    <row r="125" spans="1:32" s="5" customFormat="1">
      <c r="A125" s="412" t="s">
        <v>586</v>
      </c>
      <c r="B125" s="332">
        <f>IF(OR(B19="A",B19="B"),SUM(B178,B167,B168,B171,B172,B170),SUM(B178,B170)*$B$4)</f>
        <v>15830000</v>
      </c>
      <c r="C125" s="332">
        <f>IF(OR(C19="A",C19="B"),SUM(C178,C167,C168,C171,C172,C170),SUM(C178,C170)*$B$4)</f>
        <v>14790000</v>
      </c>
      <c r="D125" s="332"/>
      <c r="E125" s="332">
        <f t="shared" ref="E125:O125" si="48">IF(OR(E19="A",E19="B"),SUM(E178,E167,E168,E171,E172,E170),SUM(E178,E170)*$B$4)</f>
        <v>17730000</v>
      </c>
      <c r="F125" s="332">
        <f t="shared" si="48"/>
        <v>22730000</v>
      </c>
      <c r="G125" s="332">
        <f t="shared" si="48"/>
        <v>0</v>
      </c>
      <c r="H125" s="332">
        <f t="shared" si="48"/>
        <v>125307000</v>
      </c>
      <c r="I125" s="332">
        <f t="shared" si="48"/>
        <v>95140500</v>
      </c>
      <c r="J125" s="332">
        <f t="shared" si="48"/>
        <v>78230000</v>
      </c>
      <c r="K125" s="332">
        <f t="shared" si="48"/>
        <v>19730000</v>
      </c>
      <c r="L125" s="332">
        <f t="shared" si="48"/>
        <v>18230000</v>
      </c>
      <c r="M125" s="332">
        <f t="shared" si="48"/>
        <v>17230000</v>
      </c>
      <c r="N125" s="332">
        <f t="shared" si="48"/>
        <v>17580000</v>
      </c>
      <c r="O125" s="400">
        <f t="shared" si="48"/>
        <v>0</v>
      </c>
      <c r="P125" s="346">
        <f t="shared" si="45"/>
        <v>442527500</v>
      </c>
      <c r="Q125"/>
      <c r="R125"/>
      <c r="S125"/>
      <c r="T125"/>
      <c r="U125"/>
      <c r="V125" s="514" t="s">
        <v>292</v>
      </c>
      <c r="W125" s="545">
        <v>91999907</v>
      </c>
      <c r="X125" s="546">
        <v>43692</v>
      </c>
      <c r="Y125" s="546">
        <v>43708</v>
      </c>
      <c r="Z125" s="515"/>
      <c r="AA125" s="515"/>
      <c r="AB125" s="516">
        <v>3042</v>
      </c>
      <c r="AC125" s="517">
        <v>12</v>
      </c>
      <c r="AD125" s="293">
        <f t="shared" si="42"/>
        <v>12</v>
      </c>
      <c r="AE125" s="81"/>
      <c r="AF125" s="80"/>
    </row>
    <row r="126" spans="1:32" s="5" customFormat="1">
      <c r="A126" s="412" t="s">
        <v>483</v>
      </c>
      <c r="B126" s="332">
        <f>ROUND('UAT8-Aug'!B67/6,0)</f>
        <v>8921667</v>
      </c>
      <c r="C126" s="332">
        <f>ROUND('UAT8-Aug'!C67/6,0)</f>
        <v>8076667</v>
      </c>
      <c r="D126" s="332"/>
      <c r="E126" s="332">
        <f>ROUND('UAT8-Aug'!E67/6,0)</f>
        <v>10943889</v>
      </c>
      <c r="F126" s="332">
        <f>ROUND('UAT8-Aug'!F67/6,0)</f>
        <v>16121667</v>
      </c>
      <c r="G126" s="332">
        <f>ROUND('UAT8-Aug'!G67/6,0)</f>
        <v>0</v>
      </c>
      <c r="H126" s="332">
        <f>ROUND('UAT8-Aug'!H67/6,0)</f>
        <v>115638250</v>
      </c>
      <c r="I126" s="332">
        <f>ROUND('UAT8-Aug'!I67/6,0)</f>
        <v>88952500</v>
      </c>
      <c r="J126" s="332">
        <f>ROUND('UAT8-Aug'!J67/6,0)</f>
        <v>69371667</v>
      </c>
      <c r="K126" s="332">
        <f>ROUND('UAT8-Aug'!K67/6,0)</f>
        <v>12821667</v>
      </c>
      <c r="L126" s="332">
        <f>ROUND('UAT8-Aug'!L67/6,0)</f>
        <v>51871667</v>
      </c>
      <c r="M126" s="332">
        <f>ROUND('UAT8-Aug'!M67/6,0)</f>
        <v>10088333</v>
      </c>
      <c r="N126" s="332">
        <f>ROUND('UAT8-Aug'!N67/6,0)</f>
        <v>11046667</v>
      </c>
      <c r="O126" s="400">
        <f>ROUND('UAT8-Aug'!O67/6,0)</f>
        <v>3000000</v>
      </c>
      <c r="P126" s="346">
        <f t="shared" si="45"/>
        <v>406854641</v>
      </c>
      <c r="Q126"/>
      <c r="R126"/>
      <c r="S126"/>
      <c r="T126"/>
      <c r="U126"/>
      <c r="V126" s="514" t="s">
        <v>292</v>
      </c>
      <c r="W126" s="545">
        <v>91999910</v>
      </c>
      <c r="X126" s="546">
        <v>43682</v>
      </c>
      <c r="Y126" s="546">
        <v>43689</v>
      </c>
      <c r="Z126" s="515"/>
      <c r="AA126" s="515"/>
      <c r="AB126" s="516">
        <v>3043</v>
      </c>
      <c r="AC126" s="517">
        <v>6</v>
      </c>
      <c r="AD126" s="293">
        <f t="shared" si="42"/>
        <v>6</v>
      </c>
      <c r="AE126" s="81"/>
      <c r="AF126" s="80"/>
    </row>
    <row r="127" spans="1:32" s="5" customFormat="1">
      <c r="A127" s="445" t="s">
        <v>486</v>
      </c>
      <c r="B127" s="332">
        <f>B123</f>
        <v>29297455</v>
      </c>
      <c r="C127" s="332">
        <f t="shared" ref="C127:O127" si="49">C123</f>
        <v>17528682</v>
      </c>
      <c r="D127" s="332"/>
      <c r="E127" s="332">
        <f t="shared" si="49"/>
        <v>7974701</v>
      </c>
      <c r="F127" s="332">
        <f t="shared" si="49"/>
        <v>27157534</v>
      </c>
      <c r="G127" s="332">
        <f t="shared" si="49"/>
        <v>29006250</v>
      </c>
      <c r="H127" s="332">
        <f t="shared" si="49"/>
        <v>108411460</v>
      </c>
      <c r="I127" s="332">
        <f t="shared" si="49"/>
        <v>100361625</v>
      </c>
      <c r="J127" s="332">
        <f t="shared" si="49"/>
        <v>82000000</v>
      </c>
      <c r="K127" s="332">
        <f t="shared" si="49"/>
        <v>38257728</v>
      </c>
      <c r="L127" s="332">
        <f t="shared" si="49"/>
        <v>17400353</v>
      </c>
      <c r="M127" s="332">
        <f t="shared" si="49"/>
        <v>10904274</v>
      </c>
      <c r="N127" s="332">
        <f t="shared" si="49"/>
        <v>1228199</v>
      </c>
      <c r="O127" s="400">
        <f t="shared" si="49"/>
        <v>4500000</v>
      </c>
      <c r="P127" s="346">
        <f t="shared" si="45"/>
        <v>474028261</v>
      </c>
      <c r="Q127"/>
      <c r="R127"/>
      <c r="S127"/>
      <c r="T127"/>
      <c r="U127"/>
      <c r="V127" s="514" t="s">
        <v>292</v>
      </c>
      <c r="W127" s="518">
        <v>91999902</v>
      </c>
      <c r="X127" s="546" t="s">
        <v>1195</v>
      </c>
      <c r="Y127" s="546" t="s">
        <v>1195</v>
      </c>
      <c r="Z127" s="515">
        <v>0.54166666666666663</v>
      </c>
      <c r="AA127" s="515">
        <v>0.70833333333333337</v>
      </c>
      <c r="AB127" s="516">
        <v>3044</v>
      </c>
      <c r="AC127" s="517">
        <v>0.5</v>
      </c>
      <c r="AD127" s="293">
        <v>0.5</v>
      </c>
      <c r="AE127" s="81"/>
      <c r="AF127" s="80"/>
    </row>
    <row r="128" spans="1:32" s="5" customFormat="1">
      <c r="A128" s="445" t="s">
        <v>607</v>
      </c>
      <c r="B128" s="332">
        <f>SUM(B50:B52)</f>
        <v>0</v>
      </c>
      <c r="C128" s="332">
        <f>SUM(C50:C52)</f>
        <v>1213800</v>
      </c>
      <c r="D128" s="332"/>
      <c r="E128" s="332">
        <f t="shared" ref="E128:O128" si="50">SUM(E50:E52)</f>
        <v>0</v>
      </c>
      <c r="F128" s="332">
        <f t="shared" si="50"/>
        <v>0</v>
      </c>
      <c r="G128" s="332">
        <f t="shared" si="50"/>
        <v>0</v>
      </c>
      <c r="H128" s="332">
        <f t="shared" si="50"/>
        <v>0</v>
      </c>
      <c r="I128" s="332">
        <f t="shared" si="50"/>
        <v>447000</v>
      </c>
      <c r="J128" s="332">
        <f t="shared" si="50"/>
        <v>3581000</v>
      </c>
      <c r="K128" s="332">
        <f t="shared" si="50"/>
        <v>0</v>
      </c>
      <c r="L128" s="332">
        <f t="shared" si="50"/>
        <v>0</v>
      </c>
      <c r="M128" s="332">
        <f t="shared" si="50"/>
        <v>0</v>
      </c>
      <c r="N128" s="332">
        <f t="shared" si="50"/>
        <v>0</v>
      </c>
      <c r="O128" s="400">
        <f t="shared" si="50"/>
        <v>0</v>
      </c>
      <c r="P128" s="346">
        <f t="shared" si="45"/>
        <v>5241800</v>
      </c>
      <c r="Q128"/>
      <c r="R128"/>
      <c r="S128"/>
      <c r="T128"/>
      <c r="U128"/>
      <c r="V128" s="514" t="s">
        <v>292</v>
      </c>
      <c r="W128" s="518">
        <v>91999901</v>
      </c>
      <c r="X128" s="546">
        <v>43689</v>
      </c>
      <c r="Y128" s="546">
        <v>43703</v>
      </c>
      <c r="Z128" s="515"/>
      <c r="AA128" s="515"/>
      <c r="AB128" s="516">
        <v>3045</v>
      </c>
      <c r="AC128" s="517">
        <v>11</v>
      </c>
      <c r="AD128" s="293">
        <f>NETWORKDAYS(X128,Y128)</f>
        <v>11</v>
      </c>
      <c r="AE128" s="81"/>
      <c r="AF128" s="80"/>
    </row>
    <row r="129" spans="1:32" s="5" customFormat="1">
      <c r="A129" s="445" t="s">
        <v>902</v>
      </c>
      <c r="B129" s="332">
        <f>IF(OR(B19="A",B19="C"),B127-B128,B127)</f>
        <v>29297455</v>
      </c>
      <c r="C129" s="332">
        <f>IF(OR(C19="A",C19="C"),C127-C128,C127)</f>
        <v>16314882</v>
      </c>
      <c r="D129" s="332"/>
      <c r="E129" s="332">
        <f t="shared" ref="E129:O129" si="51">IF(OR(E19="A",E19="C"),E127-E128,E127)</f>
        <v>7974701</v>
      </c>
      <c r="F129" s="332">
        <f t="shared" si="51"/>
        <v>27157534</v>
      </c>
      <c r="G129" s="332">
        <f t="shared" si="51"/>
        <v>29006250</v>
      </c>
      <c r="H129" s="332">
        <f t="shared" si="51"/>
        <v>108411460</v>
      </c>
      <c r="I129" s="332">
        <f t="shared" si="51"/>
        <v>100361625</v>
      </c>
      <c r="J129" s="332">
        <f t="shared" si="51"/>
        <v>78419000</v>
      </c>
      <c r="K129" s="332">
        <f t="shared" si="51"/>
        <v>38257728</v>
      </c>
      <c r="L129" s="332">
        <f t="shared" si="51"/>
        <v>17400353</v>
      </c>
      <c r="M129" s="332">
        <f t="shared" si="51"/>
        <v>10904274</v>
      </c>
      <c r="N129" s="332">
        <f t="shared" si="51"/>
        <v>1228199</v>
      </c>
      <c r="O129" s="400">
        <f t="shared" si="51"/>
        <v>4500000</v>
      </c>
      <c r="P129" s="346">
        <f t="shared" si="45"/>
        <v>469233461</v>
      </c>
      <c r="Q129"/>
      <c r="R129"/>
      <c r="S129"/>
      <c r="T129"/>
      <c r="U129"/>
      <c r="V129" s="514" t="s">
        <v>292</v>
      </c>
      <c r="W129" s="518">
        <v>91999910</v>
      </c>
      <c r="X129" s="546">
        <v>43707</v>
      </c>
      <c r="Y129" s="546">
        <v>43707</v>
      </c>
      <c r="Z129" s="515">
        <v>0.33333333333333331</v>
      </c>
      <c r="AA129" s="515">
        <v>0.70833333333333337</v>
      </c>
      <c r="AB129" s="516">
        <v>3046</v>
      </c>
      <c r="AC129" s="517">
        <v>1</v>
      </c>
      <c r="AD129" s="293">
        <f>NETWORKDAYS(X129,Y129)</f>
        <v>1</v>
      </c>
      <c r="AE129" s="81"/>
      <c r="AF129" s="80"/>
    </row>
    <row r="130" spans="1:32" s="5" customFormat="1">
      <c r="A130" s="445" t="s">
        <v>903</v>
      </c>
      <c r="B130" s="332">
        <f>IF(OR(B19="A",B19="C"),MAX(B129-B22-B21*B20,0),B129)</f>
        <v>16697455</v>
      </c>
      <c r="C130" s="332">
        <f>IF(OR(C19="A",C19="C"),MAX(C129-C22-C21*C20,0),C129)</f>
        <v>0</v>
      </c>
      <c r="D130" s="332"/>
      <c r="E130" s="332">
        <f t="shared" ref="E130:O130" si="52">IF(OR(E19="A",E19="C"),MAX(E129-E22-E21*E20,0),E129)</f>
        <v>7974701</v>
      </c>
      <c r="F130" s="332">
        <f t="shared" si="52"/>
        <v>27157534</v>
      </c>
      <c r="G130" s="332">
        <f t="shared" si="52"/>
        <v>20006250</v>
      </c>
      <c r="H130" s="332">
        <f t="shared" si="52"/>
        <v>108411460</v>
      </c>
      <c r="I130" s="332">
        <f t="shared" si="52"/>
        <v>100361625</v>
      </c>
      <c r="J130" s="332">
        <f t="shared" si="52"/>
        <v>69419000</v>
      </c>
      <c r="K130" s="332">
        <f t="shared" si="52"/>
        <v>29257728</v>
      </c>
      <c r="L130" s="332">
        <f t="shared" si="52"/>
        <v>8400353</v>
      </c>
      <c r="M130" s="332">
        <f t="shared" si="52"/>
        <v>1904274</v>
      </c>
      <c r="N130" s="332">
        <f t="shared" si="52"/>
        <v>0</v>
      </c>
      <c r="O130" s="400">
        <f t="shared" si="52"/>
        <v>4500000</v>
      </c>
      <c r="P130" s="346">
        <f t="shared" si="45"/>
        <v>394090380</v>
      </c>
      <c r="Q130"/>
      <c r="R130"/>
      <c r="S130"/>
      <c r="T130"/>
      <c r="U130"/>
      <c r="V130" s="514" t="s">
        <v>292</v>
      </c>
      <c r="W130" s="545">
        <v>91999911</v>
      </c>
      <c r="X130" s="546">
        <v>43692</v>
      </c>
      <c r="Y130" s="546">
        <v>43699</v>
      </c>
      <c r="Z130" s="515"/>
      <c r="AA130" s="515"/>
      <c r="AB130" s="516">
        <v>3047</v>
      </c>
      <c r="AC130" s="517">
        <v>6</v>
      </c>
      <c r="AD130" s="293">
        <f>NETWORKDAYS(X130,Y130)</f>
        <v>6</v>
      </c>
      <c r="AE130" s="81"/>
      <c r="AF130" s="80"/>
    </row>
    <row r="131" spans="1:32" s="5" customFormat="1">
      <c r="A131" s="445" t="s">
        <v>906</v>
      </c>
      <c r="B131" s="332">
        <f>IF(OR(B19="A",B19="C"),ROUND(MAX(B130*{5;10;15;20;25;30;35}%-{0;0.25;0.75;1.65;3.25;5.85;9.85}*1000000,0),0),IF(B19="B",IF(B130&lt;2000000,0,ROUND(B130*10%,0)),ROUND(B130*20%,0)))</f>
        <v>1754618</v>
      </c>
      <c r="C131" s="332">
        <f>IF(OR(C19="A",C19="C"),ROUND(MAX(C130*{5;10;15;20;25;30;35}%-{0;0.25;0.75;1.65;3.25;5.85;9.85}*1000000,0),0),IF(C19="B",IF(C130&lt;2000000,0,ROUND(C130*10%,0)),ROUND(C130*20%,0)))</f>
        <v>0</v>
      </c>
      <c r="D131" s="332"/>
      <c r="E131" s="332">
        <f>IF(OR(E19="A",E19="C"),ROUND(MAX(E130*{5;10;15;20;25;30;35}%-{0;0.25;0.75;1.65;3.25;5.85;9.85}*1000000,0),0),IF(E19="B",IF(E130&lt;2000000,0,ROUND(E130*10%,0)),ROUND(E130*20%,0)))</f>
        <v>797470</v>
      </c>
      <c r="F131" s="332">
        <f>IF(OR(F19="A",F19="C"),ROUND(MAX(F130*{5;10;15;20;25;30;35}%-{0;0.25;0.75;1.65;3.25;5.85;9.85}*1000000,0),0),IF(F19="B",IF(F130&lt;2000000,0,ROUND(F130*10%,0)),ROUND(F130*20%,0)))</f>
        <v>2715753</v>
      </c>
      <c r="G131" s="332">
        <f>IF(OR(G19="A",G19="C"),ROUND(MAX(G130*{5;10;15;20;25;30;35}%-{0;0.25;0.75;1.65;3.25;5.85;9.85}*1000000,0),0),IF(G19="B",IF(G130&lt;2000000,0,ROUND(G130*10%,0)),ROUND(G130*20%,0)))</f>
        <v>2351250</v>
      </c>
      <c r="H131" s="332">
        <f>IF(OR(H19="A",H19="C"),ROUND(MAX(H130*{5;10;15;20;25;30;35}%-{0;0.25;0.75;1.65;3.25;5.85;9.85}*1000000,0),0),IF(H19="B",IF(H130&lt;2000000,0,ROUND(H130*10%,0)),ROUND(H130*20%,0)))</f>
        <v>21682292</v>
      </c>
      <c r="I131" s="332">
        <f>IF(OR(I19="A",I19="C"),ROUND(MAX(I130*{5;10;15;20;25;30;35}%-{0;0.25;0.75;1.65;3.25;5.85;9.85}*1000000,0),0),IF(I19="B",IF(I130&lt;2000000,0,ROUND(I130*10%,0)),ROUND(I130*20%,0)))</f>
        <v>20072325</v>
      </c>
      <c r="J131" s="332">
        <f>IF(OR(J19="A",J19="C"),ROUND(MAX(J130*{5;10;15;20;25;30;35}%-{0;0.25;0.75;1.65;3.25;5.85;9.85}*1000000,0),0),IF(J19="B",IF(J130&lt;2000000,0,ROUND(J130*10%,0)),ROUND(J130*20%,0)))</f>
        <v>14975700</v>
      </c>
      <c r="K131" s="332">
        <f>IF(OR(K19="A",K19="C"),ROUND(MAX(K130*{5;10;15;20;25;30;35}%-{0;0.25;0.75;1.65;3.25;5.85;9.85}*1000000,0),0),IF(K19="B",IF(K130&lt;2000000,0,ROUND(K130*10%,0)),ROUND(K130*20%,0)))</f>
        <v>4201546</v>
      </c>
      <c r="L131" s="332">
        <f>IF(OR(L19="A",L19="C"),ROUND(MAX(L130*{5;10;15;20;25;30;35}%-{0;0.25;0.75;1.65;3.25;5.85;9.85}*1000000,0),0),IF(L19="B",IF(L130&lt;2000000,0,ROUND(L130*10%,0)),ROUND(L130*20%,0)))</f>
        <v>590035</v>
      </c>
      <c r="M131" s="332">
        <f>IF(OR(M19="A",M19="C"),ROUND(MAX(M130*{5;10;15;20;25;30;35}%-{0;0.25;0.75;1.65;3.25;5.85;9.85}*1000000,0),0),IF(M19="B",IF(M130&lt;2000000,0,ROUND(M130*10%,0)),ROUND(M130*20%,0)))</f>
        <v>95214</v>
      </c>
      <c r="N131" s="332">
        <f>IF(OR(N19="A",N19="C"),ROUND(MAX(N130*{5;10;15;20;25;30;35}%-{0;0.25;0.75;1.65;3.25;5.85;9.85}*1000000,0),0),IF(N19="B",IF(N130&lt;2000000,0,ROUND(N130*10%,0)),ROUND(N130*20%,0)))</f>
        <v>0</v>
      </c>
      <c r="O131" s="400">
        <f>IF(OR(O19="A",O19="C"),ROUND(MAX(O130*{5;10;15;20;25;30;35}%-{0;0.25;0.75;1.65;3.25;5.85;9.85}*1000000,0),0),IF(O19="B",IF(O130&lt;2000000,0,ROUND(O130*10%,0)),ROUND(O130*20%,0)))</f>
        <v>450000</v>
      </c>
      <c r="P131" s="346">
        <f t="shared" si="45"/>
        <v>69686203</v>
      </c>
      <c r="Q131"/>
      <c r="R131"/>
      <c r="S131"/>
      <c r="T131"/>
      <c r="U131"/>
      <c r="V131" s="514" t="s">
        <v>292</v>
      </c>
      <c r="W131" s="545">
        <v>91999913</v>
      </c>
      <c r="X131" s="546">
        <v>43697</v>
      </c>
      <c r="Y131" s="546">
        <v>43708</v>
      </c>
      <c r="Z131" s="515"/>
      <c r="AA131" s="515"/>
      <c r="AB131" s="516">
        <v>3048</v>
      </c>
      <c r="AC131" s="517">
        <v>9</v>
      </c>
      <c r="AD131" s="293">
        <f>NETWORKDAYS(X131,Y131)</f>
        <v>9</v>
      </c>
      <c r="AE131" s="81"/>
      <c r="AF131" s="80"/>
    </row>
    <row r="132" spans="1:32" s="5" customFormat="1">
      <c r="A132" s="445" t="s">
        <v>922</v>
      </c>
      <c r="B132" s="332">
        <f>B127+'UAT8-Aug'!B104</f>
        <v>119388223</v>
      </c>
      <c r="C132" s="332">
        <f>C127+'UAT8-Aug'!C104</f>
        <v>102553643</v>
      </c>
      <c r="D132" s="332">
        <f>D127+'UAT8-Aug'!D104</f>
        <v>67015899</v>
      </c>
      <c r="E132" s="332">
        <f>E127+'UAT8-Aug'!E104</f>
        <v>177423020</v>
      </c>
      <c r="F132" s="332">
        <f>F127+'UAT8-Aug'!F104</f>
        <v>166792910</v>
      </c>
      <c r="G132" s="332">
        <f>G127+'UAT8-Aug'!G104</f>
        <v>400286250</v>
      </c>
      <c r="H132" s="332">
        <f>H127+'UAT8-Aug'!H104</f>
        <v>1428936808</v>
      </c>
      <c r="I132" s="332">
        <f>I127+'UAT8-Aug'!I104</f>
        <v>920886690.86210001</v>
      </c>
      <c r="J132" s="332">
        <f>J127+'UAT8-Aug'!J104</f>
        <v>560725262</v>
      </c>
      <c r="K132" s="332">
        <f>K127+'UAT8-Aug'!K104</f>
        <v>129257728</v>
      </c>
      <c r="L132" s="332">
        <f>L127+'UAT8-Aug'!L104</f>
        <v>491089353</v>
      </c>
      <c r="M132" s="332">
        <f>M127+'UAT8-Aug'!M104</f>
        <v>82835060</v>
      </c>
      <c r="N132" s="332">
        <f>N127+'UAT8-Aug'!N104</f>
        <v>77649690</v>
      </c>
      <c r="O132" s="400">
        <f>O127+'UAT8-Aug'!O104</f>
        <v>41000000</v>
      </c>
      <c r="P132" s="346">
        <f t="shared" si="45"/>
        <v>4765840536.8621006</v>
      </c>
      <c r="Q132"/>
      <c r="R132"/>
      <c r="S132"/>
      <c r="T132"/>
      <c r="U132"/>
      <c r="V132" s="33"/>
      <c r="W132" s="45"/>
      <c r="X132" s="13"/>
      <c r="Y132" s="13"/>
      <c r="Z132" s="13"/>
      <c r="AA132" s="13"/>
      <c r="AB132" s="13"/>
      <c r="AC132" s="18"/>
      <c r="AD132" s="293"/>
      <c r="AE132" s="81"/>
      <c r="AF132" s="80"/>
    </row>
    <row r="133" spans="1:32">
      <c r="A133" s="445" t="s">
        <v>488</v>
      </c>
      <c r="B133" s="332">
        <f>B131+'UAT8-Aug'!B105</f>
        <v>2113683</v>
      </c>
      <c r="C133" s="332">
        <f>C131+'UAT8-Aug'!C105</f>
        <v>0</v>
      </c>
      <c r="D133" s="332">
        <f>D131+'UAT8-Aug'!D105</f>
        <v>161125</v>
      </c>
      <c r="E133" s="332">
        <f>E131+'UAT8-Aug'!E105</f>
        <v>17836803</v>
      </c>
      <c r="F133" s="332">
        <f>F131+'UAT8-Aug'!F105</f>
        <v>16679289</v>
      </c>
      <c r="G133" s="332">
        <f>G131+'UAT8-Aug'!G105</f>
        <v>69402625</v>
      </c>
      <c r="H133" s="332">
        <f>H131+'UAT8-Aug'!H105</f>
        <v>285870762</v>
      </c>
      <c r="I133" s="332">
        <f>I131+'UAT8-Aug'!I105</f>
        <v>184260738</v>
      </c>
      <c r="J133" s="332">
        <f>J131+'UAT8-Aug'!J105</f>
        <v>93635129</v>
      </c>
      <c r="K133" s="332">
        <f>K131+'UAT8-Aug'!K105</f>
        <v>5151546</v>
      </c>
      <c r="L133" s="332">
        <f>L131+'UAT8-Aug'!L105</f>
        <v>86095735</v>
      </c>
      <c r="M133" s="332">
        <f>M131+'UAT8-Aug'!M105</f>
        <v>466754</v>
      </c>
      <c r="N133" s="332">
        <f>N131+'UAT8-Aug'!N105</f>
        <v>221075</v>
      </c>
      <c r="O133" s="400">
        <f>O131+'UAT8-Aug'!O105</f>
        <v>4100000</v>
      </c>
      <c r="P133" s="346">
        <f t="shared" si="45"/>
        <v>765995264</v>
      </c>
      <c r="V133" s="33"/>
      <c r="W133" s="45"/>
      <c r="X133" s="13"/>
      <c r="Y133" s="13"/>
      <c r="Z133" s="13"/>
      <c r="AA133" s="13"/>
      <c r="AB133" s="13"/>
      <c r="AC133" s="18"/>
      <c r="AD133" s="293"/>
      <c r="AE133" s="81"/>
      <c r="AF133" s="81"/>
    </row>
    <row r="134" spans="1:32">
      <c r="A134" s="445" t="s">
        <v>489</v>
      </c>
      <c r="B134" s="332">
        <f>B128+'UAT8-Aug'!B106</f>
        <v>7381500</v>
      </c>
      <c r="C134" s="332">
        <f>C128+'UAT8-Aug'!C106</f>
        <v>7926450</v>
      </c>
      <c r="D134" s="332">
        <f>D128+'UAT8-Aug'!D106</f>
        <v>1237500</v>
      </c>
      <c r="E134" s="332">
        <f>E128+'UAT8-Aug'!E106</f>
        <v>8557500</v>
      </c>
      <c r="F134" s="332">
        <f>F128+'UAT8-Aug'!F106</f>
        <v>0</v>
      </c>
      <c r="G134" s="332">
        <f>G128+'UAT8-Aug'!G106</f>
        <v>0</v>
      </c>
      <c r="H134" s="332">
        <f>H128+'UAT8-Aug'!H106</f>
        <v>4323000</v>
      </c>
      <c r="I134" s="332">
        <f>I128+'UAT8-Aug'!I106</f>
        <v>4353000</v>
      </c>
      <c r="J134" s="332">
        <f>J128+'UAT8-Aug'!J106</f>
        <v>31332000</v>
      </c>
      <c r="K134" s="332">
        <f>K128+'UAT8-Aug'!K106</f>
        <v>0</v>
      </c>
      <c r="L134" s="332">
        <f>L128+'UAT8-Aug'!L106</f>
        <v>27056000</v>
      </c>
      <c r="M134" s="332">
        <f>M128+'UAT8-Aug'!M106</f>
        <v>0</v>
      </c>
      <c r="N134" s="332">
        <f>N128+'UAT8-Aug'!N106</f>
        <v>0</v>
      </c>
      <c r="O134" s="400">
        <f>O128+'UAT8-Aug'!O106</f>
        <v>0</v>
      </c>
      <c r="P134" s="346">
        <f t="shared" si="45"/>
        <v>92166950</v>
      </c>
      <c r="V134" s="32"/>
      <c r="W134" s="44"/>
      <c r="X134" s="13"/>
      <c r="Y134" s="13"/>
      <c r="Z134" s="13"/>
      <c r="AA134" s="13"/>
      <c r="AB134" s="13"/>
      <c r="AC134" s="18"/>
      <c r="AE134" s="81"/>
      <c r="AF134" s="81"/>
    </row>
    <row r="135" spans="1:32">
      <c r="A135" s="412"/>
      <c r="B135" s="14"/>
      <c r="C135" s="7"/>
      <c r="D135" s="7"/>
      <c r="E135" s="322"/>
      <c r="F135" s="7"/>
      <c r="G135" s="7"/>
      <c r="H135" s="7"/>
      <c r="I135" s="7"/>
      <c r="J135" s="7"/>
      <c r="K135" s="322"/>
      <c r="L135" s="322"/>
      <c r="M135" s="322"/>
      <c r="N135" s="322"/>
      <c r="O135" s="381"/>
      <c r="P135" s="346"/>
      <c r="AE135" s="81"/>
      <c r="AF135" s="81"/>
    </row>
    <row r="136" spans="1:32">
      <c r="A136" s="463" t="s">
        <v>810</v>
      </c>
      <c r="B136" s="563">
        <f t="shared" ref="B136:O136" si="53">B104</f>
        <v>11</v>
      </c>
      <c r="C136" s="563">
        <f t="shared" si="53"/>
        <v>0</v>
      </c>
      <c r="D136" s="563">
        <f t="shared" si="53"/>
        <v>0</v>
      </c>
      <c r="E136" s="563">
        <f t="shared" si="53"/>
        <v>0</v>
      </c>
      <c r="F136" s="563">
        <f t="shared" si="53"/>
        <v>0</v>
      </c>
      <c r="G136" s="563">
        <f t="shared" si="53"/>
        <v>0</v>
      </c>
      <c r="H136" s="563">
        <f t="shared" si="53"/>
        <v>0</v>
      </c>
      <c r="I136" s="563">
        <f t="shared" si="53"/>
        <v>0</v>
      </c>
      <c r="J136" s="563">
        <f t="shared" si="53"/>
        <v>0</v>
      </c>
      <c r="K136" s="563">
        <f t="shared" si="53"/>
        <v>0</v>
      </c>
      <c r="L136" s="563">
        <f t="shared" si="53"/>
        <v>0</v>
      </c>
      <c r="M136" s="563">
        <f t="shared" si="53"/>
        <v>0</v>
      </c>
      <c r="N136" s="563">
        <f t="shared" si="53"/>
        <v>0</v>
      </c>
      <c r="O136" s="564">
        <f t="shared" si="53"/>
        <v>0</v>
      </c>
      <c r="P136" s="558">
        <f t="shared" si="45"/>
        <v>11</v>
      </c>
    </row>
    <row r="137" spans="1:32">
      <c r="A137" s="463" t="s">
        <v>789</v>
      </c>
      <c r="B137" s="563">
        <f t="shared" ref="B137:O137" si="54">B106</f>
        <v>0</v>
      </c>
      <c r="C137" s="563">
        <f t="shared" si="54"/>
        <v>0</v>
      </c>
      <c r="D137" s="563">
        <f t="shared" si="54"/>
        <v>0</v>
      </c>
      <c r="E137" s="563">
        <f t="shared" si="54"/>
        <v>0</v>
      </c>
      <c r="F137" s="563">
        <f t="shared" si="54"/>
        <v>0</v>
      </c>
      <c r="G137" s="563">
        <f t="shared" si="54"/>
        <v>0</v>
      </c>
      <c r="H137" s="563">
        <f t="shared" si="54"/>
        <v>0</v>
      </c>
      <c r="I137" s="563">
        <f t="shared" si="54"/>
        <v>0</v>
      </c>
      <c r="J137" s="563">
        <f t="shared" si="54"/>
        <v>0</v>
      </c>
      <c r="K137" s="563">
        <f t="shared" si="54"/>
        <v>0</v>
      </c>
      <c r="L137" s="563">
        <f t="shared" si="54"/>
        <v>6</v>
      </c>
      <c r="M137" s="563">
        <f t="shared" si="54"/>
        <v>0</v>
      </c>
      <c r="N137" s="563">
        <f t="shared" si="54"/>
        <v>0</v>
      </c>
      <c r="O137" s="564">
        <f t="shared" si="54"/>
        <v>0</v>
      </c>
      <c r="P137" s="558">
        <f t="shared" si="45"/>
        <v>6</v>
      </c>
    </row>
    <row r="138" spans="1:32">
      <c r="A138" s="463" t="s">
        <v>786</v>
      </c>
      <c r="B138" s="563">
        <f t="shared" ref="B138:O138" si="55">B100</f>
        <v>0</v>
      </c>
      <c r="C138" s="563">
        <f t="shared" si="55"/>
        <v>0</v>
      </c>
      <c r="D138" s="563">
        <f t="shared" si="55"/>
        <v>0</v>
      </c>
      <c r="E138" s="563">
        <f t="shared" si="55"/>
        <v>0</v>
      </c>
      <c r="F138" s="563">
        <f t="shared" si="55"/>
        <v>0</v>
      </c>
      <c r="G138" s="563">
        <f t="shared" si="55"/>
        <v>0</v>
      </c>
      <c r="H138" s="563">
        <f t="shared" si="55"/>
        <v>0</v>
      </c>
      <c r="I138" s="563">
        <f t="shared" si="55"/>
        <v>0</v>
      </c>
      <c r="J138" s="563">
        <f t="shared" si="55"/>
        <v>0</v>
      </c>
      <c r="K138" s="563">
        <f t="shared" si="55"/>
        <v>0</v>
      </c>
      <c r="L138" s="563">
        <f t="shared" si="55"/>
        <v>5</v>
      </c>
      <c r="M138" s="563">
        <f t="shared" si="55"/>
        <v>0</v>
      </c>
      <c r="N138" s="563">
        <f t="shared" si="55"/>
        <v>0</v>
      </c>
      <c r="O138" s="564">
        <f t="shared" si="55"/>
        <v>0</v>
      </c>
      <c r="P138" s="558">
        <f t="shared" si="45"/>
        <v>5</v>
      </c>
    </row>
    <row r="139" spans="1:32">
      <c r="A139" s="463" t="s">
        <v>811</v>
      </c>
      <c r="B139" s="563">
        <f t="shared" ref="B139:O139" si="56">B105</f>
        <v>0</v>
      </c>
      <c r="C139" s="563">
        <f t="shared" si="56"/>
        <v>0</v>
      </c>
      <c r="D139" s="563">
        <f t="shared" si="56"/>
        <v>0</v>
      </c>
      <c r="E139" s="563">
        <f t="shared" si="56"/>
        <v>0</v>
      </c>
      <c r="F139" s="563">
        <f t="shared" si="56"/>
        <v>0</v>
      </c>
      <c r="G139" s="563">
        <f t="shared" si="56"/>
        <v>0</v>
      </c>
      <c r="H139" s="563">
        <f t="shared" si="56"/>
        <v>0</v>
      </c>
      <c r="I139" s="563">
        <f t="shared" si="56"/>
        <v>0</v>
      </c>
      <c r="J139" s="563">
        <f t="shared" si="56"/>
        <v>0</v>
      </c>
      <c r="K139" s="563">
        <f t="shared" si="56"/>
        <v>1</v>
      </c>
      <c r="L139" s="563">
        <f t="shared" si="56"/>
        <v>0</v>
      </c>
      <c r="M139" s="563">
        <f t="shared" si="56"/>
        <v>0</v>
      </c>
      <c r="N139" s="563">
        <f t="shared" si="56"/>
        <v>0</v>
      </c>
      <c r="O139" s="564">
        <f t="shared" si="56"/>
        <v>0</v>
      </c>
      <c r="P139" s="558">
        <f t="shared" si="45"/>
        <v>1</v>
      </c>
    </row>
    <row r="140" spans="1:32">
      <c r="A140" s="463" t="s">
        <v>812</v>
      </c>
      <c r="B140" s="563">
        <f t="shared" ref="B140:O140" si="57">B107</f>
        <v>0</v>
      </c>
      <c r="C140" s="563">
        <f t="shared" si="57"/>
        <v>0</v>
      </c>
      <c r="D140" s="563">
        <f t="shared" si="57"/>
        <v>0</v>
      </c>
      <c r="E140" s="563">
        <f t="shared" si="57"/>
        <v>0</v>
      </c>
      <c r="F140" s="563">
        <f t="shared" si="57"/>
        <v>0</v>
      </c>
      <c r="G140" s="563">
        <f t="shared" si="57"/>
        <v>0</v>
      </c>
      <c r="H140" s="563">
        <f t="shared" si="57"/>
        <v>0</v>
      </c>
      <c r="I140" s="563">
        <f t="shared" si="57"/>
        <v>0</v>
      </c>
      <c r="J140" s="563">
        <f t="shared" si="57"/>
        <v>0</v>
      </c>
      <c r="K140" s="563">
        <f t="shared" si="57"/>
        <v>0</v>
      </c>
      <c r="L140" s="563">
        <f t="shared" si="57"/>
        <v>0</v>
      </c>
      <c r="M140" s="563">
        <f t="shared" si="57"/>
        <v>0</v>
      </c>
      <c r="N140" s="563">
        <f t="shared" si="57"/>
        <v>9</v>
      </c>
      <c r="O140" s="564">
        <f t="shared" si="57"/>
        <v>0</v>
      </c>
      <c r="P140" s="558">
        <f t="shared" si="45"/>
        <v>9</v>
      </c>
    </row>
    <row r="141" spans="1:32">
      <c r="A141" s="463" t="s">
        <v>814</v>
      </c>
      <c r="B141" s="563">
        <f t="shared" ref="B141:O141" si="58">B99</f>
        <v>0</v>
      </c>
      <c r="C141" s="563">
        <f t="shared" si="58"/>
        <v>0</v>
      </c>
      <c r="D141" s="563">
        <f t="shared" si="58"/>
        <v>0</v>
      </c>
      <c r="E141" s="563">
        <f t="shared" si="58"/>
        <v>0</v>
      </c>
      <c r="F141" s="563">
        <f t="shared" si="58"/>
        <v>0</v>
      </c>
      <c r="G141" s="563">
        <f t="shared" si="58"/>
        <v>0</v>
      </c>
      <c r="H141" s="563">
        <f t="shared" si="58"/>
        <v>0</v>
      </c>
      <c r="I141" s="563">
        <f t="shared" si="58"/>
        <v>0</v>
      </c>
      <c r="J141" s="563">
        <f t="shared" si="58"/>
        <v>0</v>
      </c>
      <c r="K141" s="563">
        <f t="shared" si="58"/>
        <v>0</v>
      </c>
      <c r="L141" s="563">
        <f t="shared" si="58"/>
        <v>0</v>
      </c>
      <c r="M141" s="563">
        <f t="shared" si="58"/>
        <v>0</v>
      </c>
      <c r="N141" s="563">
        <f t="shared" si="58"/>
        <v>12</v>
      </c>
      <c r="O141" s="564">
        <f t="shared" si="58"/>
        <v>0</v>
      </c>
      <c r="P141" s="558">
        <f t="shared" si="45"/>
        <v>12</v>
      </c>
    </row>
    <row r="142" spans="1:32">
      <c r="A142" s="506" t="s">
        <v>813</v>
      </c>
      <c r="B142" s="563">
        <f t="shared" ref="B142:O142" si="59">B97</f>
        <v>5</v>
      </c>
      <c r="C142" s="563">
        <f t="shared" si="59"/>
        <v>2</v>
      </c>
      <c r="D142" s="563">
        <f t="shared" si="59"/>
        <v>0</v>
      </c>
      <c r="E142" s="563">
        <f t="shared" si="59"/>
        <v>0</v>
      </c>
      <c r="F142" s="563">
        <f t="shared" si="59"/>
        <v>0</v>
      </c>
      <c r="G142" s="563">
        <f t="shared" si="59"/>
        <v>0</v>
      </c>
      <c r="H142" s="563">
        <f t="shared" si="59"/>
        <v>0</v>
      </c>
      <c r="I142" s="563">
        <f t="shared" si="59"/>
        <v>0</v>
      </c>
      <c r="J142" s="563">
        <f t="shared" si="59"/>
        <v>0</v>
      </c>
      <c r="K142" s="563">
        <f t="shared" si="59"/>
        <v>1</v>
      </c>
      <c r="L142" s="563">
        <f t="shared" si="59"/>
        <v>0</v>
      </c>
      <c r="M142" s="563">
        <f t="shared" si="59"/>
        <v>0</v>
      </c>
      <c r="N142" s="563">
        <f t="shared" si="59"/>
        <v>0</v>
      </c>
      <c r="O142" s="564">
        <f t="shared" si="59"/>
        <v>0</v>
      </c>
      <c r="P142" s="558">
        <f t="shared" si="45"/>
        <v>8</v>
      </c>
    </row>
    <row r="143" spans="1:32">
      <c r="A143" s="463" t="s">
        <v>815</v>
      </c>
      <c r="B143" s="563">
        <f t="shared" ref="B143:O143" si="60">B98</f>
        <v>0</v>
      </c>
      <c r="C143" s="563">
        <f t="shared" si="60"/>
        <v>0</v>
      </c>
      <c r="D143" s="563">
        <f t="shared" si="60"/>
        <v>0</v>
      </c>
      <c r="E143" s="563">
        <f t="shared" si="60"/>
        <v>0</v>
      </c>
      <c r="F143" s="563">
        <f t="shared" si="60"/>
        <v>0</v>
      </c>
      <c r="G143" s="563">
        <f t="shared" si="60"/>
        <v>0</v>
      </c>
      <c r="H143" s="563">
        <f t="shared" si="60"/>
        <v>0</v>
      </c>
      <c r="I143" s="563">
        <f t="shared" si="60"/>
        <v>0</v>
      </c>
      <c r="J143" s="563">
        <f t="shared" si="60"/>
        <v>0</v>
      </c>
      <c r="K143" s="563">
        <f t="shared" si="60"/>
        <v>0</v>
      </c>
      <c r="L143" s="563">
        <f t="shared" si="60"/>
        <v>0</v>
      </c>
      <c r="M143" s="563">
        <f t="shared" si="60"/>
        <v>12</v>
      </c>
      <c r="N143" s="563">
        <f t="shared" si="60"/>
        <v>0</v>
      </c>
      <c r="O143" s="564">
        <f t="shared" si="60"/>
        <v>0</v>
      </c>
      <c r="P143" s="558">
        <f t="shared" si="45"/>
        <v>12</v>
      </c>
      <c r="V143" s="160"/>
    </row>
    <row r="144" spans="1:32">
      <c r="A144" s="463" t="s">
        <v>787</v>
      </c>
      <c r="B144" s="563">
        <f t="shared" ref="B144:O144" si="61">B101</f>
        <v>0</v>
      </c>
      <c r="C144" s="563">
        <f t="shared" si="61"/>
        <v>0</v>
      </c>
      <c r="D144" s="563">
        <f t="shared" si="61"/>
        <v>0</v>
      </c>
      <c r="E144" s="563">
        <f t="shared" si="61"/>
        <v>15</v>
      </c>
      <c r="F144" s="563">
        <f t="shared" si="61"/>
        <v>0</v>
      </c>
      <c r="G144" s="563">
        <f t="shared" si="61"/>
        <v>0</v>
      </c>
      <c r="H144" s="563">
        <f t="shared" si="61"/>
        <v>12</v>
      </c>
      <c r="I144" s="563">
        <f t="shared" si="61"/>
        <v>0</v>
      </c>
      <c r="J144" s="563">
        <f t="shared" si="61"/>
        <v>0</v>
      </c>
      <c r="K144" s="563">
        <f t="shared" si="61"/>
        <v>0</v>
      </c>
      <c r="L144" s="563">
        <f t="shared" si="61"/>
        <v>0</v>
      </c>
      <c r="M144" s="563">
        <f t="shared" si="61"/>
        <v>0</v>
      </c>
      <c r="N144" s="563">
        <f t="shared" si="61"/>
        <v>0</v>
      </c>
      <c r="O144" s="564">
        <f t="shared" si="61"/>
        <v>0</v>
      </c>
      <c r="P144" s="558">
        <f t="shared" si="45"/>
        <v>27</v>
      </c>
    </row>
    <row r="145" spans="1:29">
      <c r="A145" s="463" t="s">
        <v>788</v>
      </c>
      <c r="B145" s="563">
        <f t="shared" ref="B145:O145" si="62">B102</f>
        <v>0</v>
      </c>
      <c r="C145" s="563">
        <f t="shared" si="62"/>
        <v>0</v>
      </c>
      <c r="D145" s="563">
        <f t="shared" si="62"/>
        <v>0</v>
      </c>
      <c r="E145" s="563">
        <f t="shared" si="62"/>
        <v>0</v>
      </c>
      <c r="F145" s="563">
        <f t="shared" si="62"/>
        <v>0</v>
      </c>
      <c r="G145" s="563">
        <f t="shared" si="62"/>
        <v>0</v>
      </c>
      <c r="H145" s="563">
        <f t="shared" si="62"/>
        <v>0</v>
      </c>
      <c r="I145" s="563">
        <f t="shared" si="62"/>
        <v>0</v>
      </c>
      <c r="J145" s="563">
        <f t="shared" si="62"/>
        <v>0</v>
      </c>
      <c r="K145" s="563">
        <f t="shared" si="62"/>
        <v>6</v>
      </c>
      <c r="L145" s="563">
        <f t="shared" si="62"/>
        <v>0</v>
      </c>
      <c r="M145" s="563">
        <f t="shared" si="62"/>
        <v>0</v>
      </c>
      <c r="N145" s="563">
        <f t="shared" si="62"/>
        <v>0</v>
      </c>
      <c r="O145" s="564">
        <f t="shared" si="62"/>
        <v>0</v>
      </c>
      <c r="P145" s="558">
        <f t="shared" si="45"/>
        <v>6</v>
      </c>
      <c r="W145" s="160"/>
      <c r="X145" s="160"/>
      <c r="Y145" s="160"/>
      <c r="Z145" s="160"/>
      <c r="AA145" s="160"/>
      <c r="AB145" s="160"/>
      <c r="AC145" s="160"/>
    </row>
    <row r="146" spans="1:29">
      <c r="A146" s="463" t="s">
        <v>816</v>
      </c>
      <c r="B146" s="563">
        <f t="shared" ref="B146:O146" si="63">B103</f>
        <v>0</v>
      </c>
      <c r="C146" s="563">
        <f t="shared" si="63"/>
        <v>0.5</v>
      </c>
      <c r="D146" s="563">
        <f t="shared" si="63"/>
        <v>0</v>
      </c>
      <c r="E146" s="563">
        <f t="shared" si="63"/>
        <v>0</v>
      </c>
      <c r="F146" s="563">
        <f t="shared" si="63"/>
        <v>0</v>
      </c>
      <c r="G146" s="563">
        <f t="shared" si="63"/>
        <v>0</v>
      </c>
      <c r="H146" s="563">
        <f t="shared" si="63"/>
        <v>0</v>
      </c>
      <c r="I146" s="563">
        <f t="shared" si="63"/>
        <v>0</v>
      </c>
      <c r="J146" s="563">
        <f t="shared" si="63"/>
        <v>0</v>
      </c>
      <c r="K146" s="563">
        <f t="shared" si="63"/>
        <v>0</v>
      </c>
      <c r="L146" s="563">
        <f t="shared" si="63"/>
        <v>0</v>
      </c>
      <c r="M146" s="563">
        <f t="shared" si="63"/>
        <v>0</v>
      </c>
      <c r="N146" s="563">
        <f t="shared" si="63"/>
        <v>0</v>
      </c>
      <c r="O146" s="564">
        <f t="shared" si="63"/>
        <v>0</v>
      </c>
      <c r="P146" s="558">
        <f t="shared" si="45"/>
        <v>0.5</v>
      </c>
    </row>
    <row r="147" spans="1:29">
      <c r="A147" s="535"/>
      <c r="B147" s="565"/>
      <c r="C147" s="565"/>
      <c r="D147" s="565"/>
      <c r="E147" s="565"/>
      <c r="F147" s="565"/>
      <c r="G147" s="565"/>
      <c r="H147" s="565"/>
      <c r="I147" s="565"/>
      <c r="J147" s="565"/>
      <c r="K147" s="565"/>
      <c r="L147" s="565"/>
      <c r="M147" s="565"/>
      <c r="N147" s="565"/>
      <c r="O147" s="566"/>
      <c r="P147" s="567"/>
      <c r="Q147" s="291"/>
      <c r="R147" s="291"/>
      <c r="S147" s="291"/>
      <c r="T147" s="291"/>
      <c r="U147" s="291"/>
    </row>
    <row r="148" spans="1:29">
      <c r="A148" s="463" t="s">
        <v>841</v>
      </c>
      <c r="B148" s="438">
        <f>ROUND(('UAT8-Aug'!B84+'UAT8-Aug'!B85)*B144,0)</f>
        <v>0</v>
      </c>
      <c r="C148" s="438">
        <f>ROUND(('UAT8-Aug'!C84+'UAT8-Aug'!C85)*C144,0)</f>
        <v>0</v>
      </c>
      <c r="D148" s="438">
        <f>ROUND(('UAT8-Aug'!D84+'UAT8-Aug'!D85)*D144,0)</f>
        <v>0</v>
      </c>
      <c r="E148" s="438">
        <f>ROUND(('UAT8-Aug'!E84+'UAT8-Aug'!E85)*E144,0)</f>
        <v>14475000</v>
      </c>
      <c r="F148" s="438">
        <f>ROUND(('UAT8-Aug'!F84+'UAT8-Aug'!F85)*F144,0)</f>
        <v>0</v>
      </c>
      <c r="G148" s="438">
        <f>ROUND(('UAT8-Aug'!G84+'UAT8-Aug'!G85)*G144,0)</f>
        <v>0</v>
      </c>
      <c r="H148" s="438">
        <f>ROUND(('UAT8-Aug'!H84+'UAT8-Aug'!H85)*H144,0)</f>
        <v>93347388</v>
      </c>
      <c r="I148" s="438">
        <f>ROUND(('UAT8-Aug'!I84+'UAT8-Aug'!I85)*I144,0)</f>
        <v>0</v>
      </c>
      <c r="J148" s="438">
        <f>ROUND(('UAT8-Aug'!J84+'UAT8-Aug'!J85)*J144,0)</f>
        <v>0</v>
      </c>
      <c r="K148" s="438">
        <f>ROUND(('UAT8-Aug'!K84+'UAT8-Aug'!K85)*K144,0)</f>
        <v>0</v>
      </c>
      <c r="L148" s="438">
        <f>ROUND(('UAT8-Aug'!L84+'UAT8-Aug'!L85)*L144,0)</f>
        <v>0</v>
      </c>
      <c r="M148" s="438">
        <f>ROUND(('UAT8-Aug'!M84+'UAT8-Aug'!M85)*M144,0)</f>
        <v>0</v>
      </c>
      <c r="N148" s="438">
        <f>ROUND(('UAT8-Aug'!N84+'UAT8-Aug'!N85)*N144,0)</f>
        <v>0</v>
      </c>
      <c r="O148" s="511">
        <f>ROUND(('UAT8-Aug'!O84+'UAT8-Aug'!O85)*O144,0)</f>
        <v>0</v>
      </c>
      <c r="P148" s="558">
        <f t="shared" si="45"/>
        <v>107822388</v>
      </c>
    </row>
    <row r="149" spans="1:29">
      <c r="A149" s="463" t="s">
        <v>842</v>
      </c>
      <c r="B149" s="438">
        <f>ROUND(('UAT8-Aug'!B84+'UAT8-Aug'!B85)*(B145+B146+B137),0)</f>
        <v>0</v>
      </c>
      <c r="C149" s="438">
        <f>ROUND(('UAT8-Aug'!C84+'UAT8-Aug'!C85)*(C145+C146+C137),0)</f>
        <v>415682</v>
      </c>
      <c r="D149" s="438">
        <f>ROUND(('UAT8-Aug'!D84+'UAT8-Aug'!D85)*(D145+D146+D137),0)</f>
        <v>0</v>
      </c>
      <c r="E149" s="438">
        <f>ROUND(('UAT8-Aug'!E84+'UAT8-Aug'!E85)*(E145+E146+E137),0)</f>
        <v>0</v>
      </c>
      <c r="F149" s="438">
        <f>ROUND(('UAT8-Aug'!F84+'UAT8-Aug'!F85)*(F145+F146+F137),0)</f>
        <v>0</v>
      </c>
      <c r="G149" s="438">
        <f>ROUND(('UAT8-Aug'!G84+'UAT8-Aug'!G85)*(G145+G146+G137),0)</f>
        <v>0</v>
      </c>
      <c r="H149" s="438">
        <f>ROUND(('UAT8-Aug'!H84+'UAT8-Aug'!H85)*(H145+H146+H137),0)</f>
        <v>0</v>
      </c>
      <c r="I149" s="438">
        <f>ROUND(('UAT8-Aug'!I84+'UAT8-Aug'!I85)*(I145+I146+I137),0)</f>
        <v>0</v>
      </c>
      <c r="J149" s="438">
        <f>ROUND(('UAT8-Aug'!J84+'UAT8-Aug'!J85)*(J145+J146+J137),0)</f>
        <v>0</v>
      </c>
      <c r="K149" s="438">
        <f>ROUND(('UAT8-Aug'!K84+'UAT8-Aug'!K85)*(K145+K146+K137),0)</f>
        <v>6335454</v>
      </c>
      <c r="L149" s="438">
        <f>ROUND(('UAT8-Aug'!L84+'UAT8-Aug'!L85)*(L145+L146+L137),0)</f>
        <v>5926362</v>
      </c>
      <c r="M149" s="438">
        <f>ROUND(('UAT8-Aug'!M84+'UAT8-Aug'!M85)*(M145+M146+M137),0)</f>
        <v>0</v>
      </c>
      <c r="N149" s="438">
        <f>ROUND(('UAT8-Aug'!N84+'UAT8-Aug'!N85)*(N145+N146+N137),0)</f>
        <v>0</v>
      </c>
      <c r="O149" s="511">
        <f>ROUND(('UAT8-Aug'!O84+'UAT8-Aug'!O85)*(O145+O146+O137),0)</f>
        <v>0</v>
      </c>
      <c r="P149" s="558">
        <f t="shared" si="45"/>
        <v>12677498</v>
      </c>
    </row>
    <row r="150" spans="1:29">
      <c r="A150" s="445"/>
      <c r="B150" s="332"/>
      <c r="C150" s="332"/>
      <c r="D150" s="332"/>
      <c r="E150" s="332"/>
      <c r="F150" s="332"/>
      <c r="G150" s="332"/>
      <c r="H150" s="332"/>
      <c r="I150" s="332"/>
      <c r="J150" s="332"/>
      <c r="K150" s="332"/>
      <c r="L150" s="332"/>
      <c r="M150" s="332"/>
      <c r="N150" s="332"/>
      <c r="O150" s="400"/>
      <c r="P150" s="557"/>
    </row>
    <row r="151" spans="1:29" ht="15.6">
      <c r="A151" s="411" t="s">
        <v>825</v>
      </c>
      <c r="B151" s="14"/>
      <c r="C151" s="7"/>
      <c r="D151" s="7"/>
      <c r="E151" s="322"/>
      <c r="F151" s="7"/>
      <c r="G151" s="7"/>
      <c r="H151" s="7"/>
      <c r="I151" s="7"/>
      <c r="J151" s="7"/>
      <c r="K151" s="322"/>
      <c r="L151" s="322"/>
      <c r="M151" s="322"/>
      <c r="N151" s="322"/>
      <c r="O151" s="381"/>
      <c r="P151" s="557"/>
    </row>
    <row r="152" spans="1:29">
      <c r="A152" s="445" t="s">
        <v>432</v>
      </c>
      <c r="B152" s="549">
        <f>IF(OR(B11="S",B11="C"),0,IF(OR(B11=1,B11=3),ROUND(20*8*(_xlfn.DAYS(EOMONTH('New Hire'!C7,11),'New Hire'!C7)+1-B180)/365,0),ROUND(20*'New Hire'!C24/365*(_xlfn.DAYS(EOMONTH('New Hire'!C7,11),'New Hire'!C7)+1-B180),0)))-B87*8</f>
        <v>150</v>
      </c>
      <c r="C152" s="549">
        <f>IF(OR(C11="S",C11="C"),0,IF(OR(C11=1,C11=3),ROUND(20*8*(_xlfn.DAYS(EOMONTH('New Hire'!D7,11),'New Hire'!D7)+1-C180)/365,0),ROUND(20*'New Hire'!D24/365*(_xlfn.DAYS(EOMONTH('New Hire'!D7,11),'New Hire'!D7)+1-C180),0)))-C87*8</f>
        <v>68</v>
      </c>
      <c r="D152" s="549"/>
      <c r="E152" s="549">
        <f>IF(OR(E11="S",E11="C"),0,IF(OR(E11=1,E11=3),ROUND(20*8*(_xlfn.DAYS(EOMONTH('New Hire'!F7,11),'New Hire'!F7)+1-E180)/365,0),ROUND(20*'New Hire'!F24/365*(_xlfn.DAYS(EOMONTH('New Hire'!F7,11),'New Hire'!F7)+1-E180),0)))-E87*8</f>
        <v>160</v>
      </c>
      <c r="F152" s="549">
        <f>IF(OR(F11="S",F11="C"),0,IF(OR(F11=1,F11=3),ROUND(20*8*(_xlfn.DAYS(EOMONTH('New Hire'!G7,11),'New Hire'!G7)+1-F180)/365,0),ROUND(20*'New Hire'!G24/365*(_xlfn.DAYS(EOMONTH('New Hire'!G7,11),'New Hire'!G7)+1-F180),0)))-F87*8</f>
        <v>128</v>
      </c>
      <c r="G152" s="549">
        <f>IF(OR(G11="S",G11="C"),0,IF(OR(G11=1,G11=3),ROUND(20*8*(_xlfn.DAYS(EOMONTH('New Hire'!H7,11),'New Hire'!H7)+1-G180)/365,0),ROUND(20*'New Hire'!H24/365*(_xlfn.DAYS(EOMONTH('New Hire'!H7,11),'New Hire'!H7)+1-G180),0)))-G87*8</f>
        <v>0</v>
      </c>
      <c r="H152" s="549">
        <f>IF(OR(H11="S",H11="C"),0,IF(OR(H11=1,H11=3),ROUND(20*8*(_xlfn.DAYS(EOMONTH('New Hire'!I7,11),'New Hire'!I7)+1-H180)/365,0),ROUND(20*'New Hire'!I24/365*(_xlfn.DAYS(EOMONTH('New Hire'!I7,11),'New Hire'!I7)+1-H180),0)))-H87*8</f>
        <v>80</v>
      </c>
      <c r="I152" s="549">
        <f>IF(OR(I11="S",I11="C"),0,IF(OR(I11=1,I11=3),ROUND(20*8*(_xlfn.DAYS(EOMONTH('New Hire'!J7,11),'New Hire'!J7)+1-I180)/365,0),ROUND(20*'New Hire'!J24/365*(_xlfn.DAYS(EOMONTH('New Hire'!J7,11),'New Hire'!J7)+1-I180),0)))-I87*8</f>
        <v>0</v>
      </c>
      <c r="J152" s="549">
        <f>IF(OR(J11="S",J11="C"),0,IF(OR(J11=1,J11=3),ROUND(20*8*(_xlfn.DAYS(EOMONTH('New Hire'!K7,11),'New Hire'!K7)+1-J180)/365,0),ROUND(20*'New Hire'!K24/365*(_xlfn.DAYS(EOMONTH('New Hire'!K7,11),'New Hire'!K7)+1-J180),0)))-J87*8</f>
        <v>44</v>
      </c>
      <c r="K152" s="549">
        <f>IF(OR(K11="S",K11="C"),0,IF(OR(K11=1,K11=3),ROUND(20*8*(_xlfn.DAYS(EOMONTH('New Hire'!L7,11),'New Hire'!L7)+1-K180)/365,0),ROUND(20*'New Hire'!L24/365*(_xlfn.DAYS(EOMONTH('New Hire'!L7,11),'New Hire'!L7)+1-K180),0)))-K87*8</f>
        <v>160</v>
      </c>
      <c r="L152" s="549">
        <f>IF(OR(L11="S",L11="C"),0,IF(OR(L11=1,L11=3),ROUND(20*8*(_xlfn.DAYS(EOMONTH('New Hire'!M7,11),'New Hire'!M7)+1-L180)/365,0),ROUND(20*'New Hire'!M24/365*(_xlfn.DAYS(EOMONTH('New Hire'!M7,11),'New Hire'!M7)+1-L180),0)))-L87*8</f>
        <v>160</v>
      </c>
      <c r="M152" s="549">
        <f>IF(OR(M11="S",M11="C"),0,IF(OR(M11=1,M11=3),ROUND(20*8*(_xlfn.DAYS(EOMONTH('New Hire'!N7,11),'New Hire'!N7)+1-M180)/365,0),ROUND(20*'New Hire'!N24/365*(_xlfn.DAYS(EOMONTH('New Hire'!N7,11),'New Hire'!N7)+1-M180),0)))-M87*8</f>
        <v>155</v>
      </c>
      <c r="N152" s="549">
        <f>IF(OR(N11="S",N11="C"),0,IF(OR(N11=1,N11=3),ROUND(20*8*(_xlfn.DAYS(EOMONTH('New Hire'!O7,11),'New Hire'!O7)+1-N180)/365,0),ROUND(20*'New Hire'!O24/365*(_xlfn.DAYS(EOMONTH('New Hire'!O7,11),'New Hire'!O7)+1-N180),0)))-N87*8</f>
        <v>155</v>
      </c>
      <c r="O152" s="550">
        <f>IF(OR(O11="S",O11="C"),0,IF(OR(O11=1,O11=3),ROUND(20*8*(_xlfn.DAYS(EOMONTH('New Hire'!P7,11),'New Hire'!P7)+1-O180)/365,0),ROUND(20*'New Hire'!P24/365*(_xlfn.DAYS(EOMONTH('New Hire'!P7,11),'New Hire'!P7)+1-O180),0)))-O87*8</f>
        <v>0</v>
      </c>
      <c r="P152" s="557">
        <f t="shared" si="45"/>
        <v>1260</v>
      </c>
    </row>
    <row r="153" spans="1:29">
      <c r="A153" s="445" t="s">
        <v>433</v>
      </c>
      <c r="B153" s="549">
        <f>IF(OR(B11="S",B11="C"),0,IF(OR(B11=1,B11=3),ROUND(10*8*(_xlfn.DAYS(EOMONTH('New Hire'!C7,11),'New Hire'!C7)+1-B180)/365,0),ROUND(10*'New Hire'!C24/365*(_xlfn.DAYS(EOMONTH('New Hire'!C7,11),'New Hire'!C7)+1-B180),0)))-8*B88</f>
        <v>79</v>
      </c>
      <c r="C153" s="549">
        <f>IF(OR(C11="S",C11="C"),0,IF(OR(C11=1,C11=3),ROUND(10*8*(_xlfn.DAYS(EOMONTH('New Hire'!D7,11),'New Hire'!D7)+1-C180)/365,0),ROUND(10*'New Hire'!D24/365*(_xlfn.DAYS(EOMONTH('New Hire'!D7,11),'New Hire'!D7)+1-C180),0)))-8*C88</f>
        <v>-44</v>
      </c>
      <c r="D153" s="549"/>
      <c r="E153" s="549">
        <f>IF(OR(E11="S",E11="C"),0,IF(OR(E11=1,E11=3),ROUND(10*8*(_xlfn.DAYS(EOMONTH('New Hire'!F7,11),'New Hire'!F7)+1-E180)/365,0),ROUND(10*'New Hire'!F24/365*(_xlfn.DAYS(EOMONTH('New Hire'!F7,11),'New Hire'!F7)+1-E180),0)))-8*E88</f>
        <v>80</v>
      </c>
      <c r="F153" s="549">
        <f>IF(OR(F11="S",F11="C"),0,IF(OR(F11=1,F11=3),ROUND(10*8*(_xlfn.DAYS(EOMONTH('New Hire'!G7,11),'New Hire'!G7)+1-F180)/365,0),ROUND(10*'New Hire'!G24/365*(_xlfn.DAYS(EOMONTH('New Hire'!G7,11),'New Hire'!G7)+1-F180),0)))-8*F88</f>
        <v>64</v>
      </c>
      <c r="G153" s="549">
        <f>IF(OR(G11="S",G11="C"),0,IF(OR(G11=1,G11=3),ROUND(10*8*(_xlfn.DAYS(EOMONTH('New Hire'!H7,11),'New Hire'!H7)+1-G180)/365,0),ROUND(10*'New Hire'!H24/365*(_xlfn.DAYS(EOMONTH('New Hire'!H7,11),'New Hire'!H7)+1-G180),0)))-8*G88</f>
        <v>0</v>
      </c>
      <c r="H153" s="549">
        <f>IF(OR(H11="S",H11="C"),0,IF(OR(H11=1,H11=3),ROUND(10*8*(_xlfn.DAYS(EOMONTH('New Hire'!I7,11),'New Hire'!I7)+1-H180)/365,0),ROUND(10*'New Hire'!I24/365*(_xlfn.DAYS(EOMONTH('New Hire'!I7,11),'New Hire'!I7)+1-H180),0)))-8*H88</f>
        <v>40</v>
      </c>
      <c r="I153" s="549">
        <f>IF(OR(I11="S",I11="C"),0,IF(OR(I11=1,I11=3),ROUND(10*8*(_xlfn.DAYS(EOMONTH('New Hire'!J7,11),'New Hire'!J7)+1-I180)/365,0),ROUND(10*'New Hire'!J24/365*(_xlfn.DAYS(EOMONTH('New Hire'!J7,11),'New Hire'!J7)+1-I180),0)))-8*I88</f>
        <v>0</v>
      </c>
      <c r="J153" s="549">
        <f>IF(OR(J11="S",J11="C"),0,IF(OR(J11=1,J11=3),ROUND(10*8*(_xlfn.DAYS(EOMONTH('New Hire'!K7,11),'New Hire'!K7)+1-J180)/365,0),ROUND(10*'New Hire'!K24/365*(_xlfn.DAYS(EOMONTH('New Hire'!K7,11),'New Hire'!K7)+1-J180),0)))-8*J88</f>
        <v>22</v>
      </c>
      <c r="K153" s="549">
        <f>IF(OR(K11="S",K11="C"),0,IF(OR(K11=1,K11=3),ROUND(10*8*(_xlfn.DAYS(EOMONTH('New Hire'!L7,11),'New Hire'!L7)+1-K180)/365,0),ROUND(10*'New Hire'!L24/365*(_xlfn.DAYS(EOMONTH('New Hire'!L7,11),'New Hire'!L7)+1-K180),0)))-8*K88</f>
        <v>80</v>
      </c>
      <c r="L153" s="549">
        <f>IF(OR(L11="S",L11="C"),0,IF(OR(L11=1,L11=3),ROUND(10*8*(_xlfn.DAYS(EOMONTH('New Hire'!M7,11),'New Hire'!M7)+1-L180)/365,0),ROUND(10*'New Hire'!M24/365*(_xlfn.DAYS(EOMONTH('New Hire'!M7,11),'New Hire'!M7)+1-L180),0)))-8*L88</f>
        <v>80</v>
      </c>
      <c r="M153" s="549">
        <f>IF(OR(M11="S",M11="C"),0,IF(OR(M11=1,M11=3),ROUND(10*8*(_xlfn.DAYS(EOMONTH('New Hire'!N7,11),'New Hire'!N7)+1-M180)/365,0),ROUND(10*'New Hire'!N24/365*(_xlfn.DAYS(EOMONTH('New Hire'!N7,11),'New Hire'!N7)+1-M180),0)))-8*M88</f>
        <v>77</v>
      </c>
      <c r="N153" s="549">
        <f>IF(OR(N11="S",N11="C"),0,IF(OR(N11=1,N11=3),ROUND(10*8*(_xlfn.DAYS(EOMONTH('New Hire'!O7,11),'New Hire'!O7)+1-N180)/365,0),ROUND(10*'New Hire'!O24/365*(_xlfn.DAYS(EOMONTH('New Hire'!O7,11),'New Hire'!O7)+1-N180),0)))-8*N88</f>
        <v>77</v>
      </c>
      <c r="O153" s="550">
        <f>IF(OR(O11="S",O11="C"),0,IF(OR(O11=1,O11=3),ROUND(10*8*(_xlfn.DAYS(EOMONTH('New Hire'!P7,11),'New Hire'!P7)+1-O180)/365,0),ROUND(10*'New Hire'!P24/365*(_xlfn.DAYS(EOMONTH('New Hire'!P7,11),'New Hire'!P7)+1-O180),0)))-8*O88</f>
        <v>0</v>
      </c>
      <c r="P153" s="557">
        <f t="shared" si="45"/>
        <v>555</v>
      </c>
    </row>
    <row r="154" spans="1:29">
      <c r="A154" s="445" t="s">
        <v>434</v>
      </c>
      <c r="B154" s="555">
        <v>0</v>
      </c>
      <c r="C154" s="555">
        <f>'UAT8-Aug'!C111-C89</f>
        <v>23.21</v>
      </c>
      <c r="D154" s="555"/>
      <c r="E154" s="555">
        <v>0</v>
      </c>
      <c r="F154" s="555">
        <f>ROUND(ROUND(25/10*100%/365,5)*('New Hire'!G80+'New Hire'!G83-'New Hire'!G84),2)+ROUND(ROUND(25/10*50%/365,5)*'New Hire'!G86,2)</f>
        <v>22.01</v>
      </c>
      <c r="G154" s="555">
        <v>0</v>
      </c>
      <c r="H154" s="555">
        <v>0</v>
      </c>
      <c r="I154" s="555">
        <v>0</v>
      </c>
      <c r="J154" s="555">
        <v>0</v>
      </c>
      <c r="K154" s="555">
        <v>0</v>
      </c>
      <c r="L154" s="555">
        <v>0</v>
      </c>
      <c r="M154" s="555">
        <v>0</v>
      </c>
      <c r="N154" s="555">
        <v>0</v>
      </c>
      <c r="O154" s="556">
        <v>0</v>
      </c>
      <c r="P154" s="579">
        <f t="shared" si="45"/>
        <v>45.22</v>
      </c>
    </row>
    <row r="155" spans="1:29">
      <c r="A155" s="445" t="s">
        <v>435</v>
      </c>
      <c r="B155" s="555">
        <f>ROUND(ROUND(5/5*100%/365,5)*('New Hire'!C80-'New Hire'!C81),2)-B89</f>
        <v>4.54</v>
      </c>
      <c r="C155" s="555">
        <v>0</v>
      </c>
      <c r="D155" s="555"/>
      <c r="E155" s="555">
        <v>0</v>
      </c>
      <c r="F155" s="555">
        <v>0</v>
      </c>
      <c r="G155" s="555">
        <v>0</v>
      </c>
      <c r="H155" s="555">
        <v>0</v>
      </c>
      <c r="I155" s="555">
        <v>0</v>
      </c>
      <c r="J155" s="555">
        <v>0</v>
      </c>
      <c r="K155" s="555">
        <f>ROUND(ROUND(5/5*100%/365,5)*'New Hire'!L80,2)-K89</f>
        <v>5</v>
      </c>
      <c r="L155" s="555">
        <f>ROUND(ROUND(5/5*100%/365,5)*'New Hire'!M80,2)+ROUND(ROUND(5/5*50%/365,5)*'New Hire'!M83,2)-L89</f>
        <v>4.5</v>
      </c>
      <c r="M155" s="555">
        <v>0</v>
      </c>
      <c r="N155" s="555">
        <v>0</v>
      </c>
      <c r="O155" s="556">
        <v>0</v>
      </c>
      <c r="P155" s="579">
        <f t="shared" si="45"/>
        <v>14.04</v>
      </c>
    </row>
    <row r="156" spans="1:29">
      <c r="A156" s="445" t="s">
        <v>436</v>
      </c>
      <c r="B156" s="555">
        <f>'UAT8-Aug'!B113-B90</f>
        <v>13.58</v>
      </c>
      <c r="C156" s="555">
        <f>'UAT8-Aug'!C113-C90</f>
        <v>0</v>
      </c>
      <c r="D156" s="555"/>
      <c r="E156" s="555">
        <f>'UAT8-Aug'!E113-E90</f>
        <v>0</v>
      </c>
      <c r="F156" s="555">
        <f>'UAT8-Aug'!F113-F90</f>
        <v>0</v>
      </c>
      <c r="G156" s="555">
        <f>'UAT8-Aug'!G113-G90</f>
        <v>0</v>
      </c>
      <c r="H156" s="555">
        <f>'UAT8-Aug'!H113-H90</f>
        <v>0</v>
      </c>
      <c r="I156" s="555">
        <f>'UAT8-Aug'!I113-I90</f>
        <v>0</v>
      </c>
      <c r="J156" s="555">
        <f>'UAT8-Aug'!J113-J90</f>
        <v>0</v>
      </c>
      <c r="K156" s="555">
        <f>'UAT8-Aug'!K113-K90</f>
        <v>0</v>
      </c>
      <c r="L156" s="555">
        <f>'UAT8-Aug'!L113-L90</f>
        <v>0</v>
      </c>
      <c r="M156" s="555">
        <f>'UAT8-Aug'!M113-M90</f>
        <v>0</v>
      </c>
      <c r="N156" s="555">
        <f>'UAT8-Aug'!N113-N90</f>
        <v>0</v>
      </c>
      <c r="O156" s="556">
        <f>'UAT8-Aug'!O113-O90</f>
        <v>0</v>
      </c>
      <c r="P156" s="579">
        <f t="shared" si="45"/>
        <v>13.58</v>
      </c>
    </row>
    <row r="157" spans="1:29">
      <c r="A157" s="445"/>
      <c r="F157" s="5"/>
      <c r="G157" s="5"/>
      <c r="H157" s="5"/>
      <c r="I157" s="5"/>
      <c r="P157" s="347"/>
    </row>
    <row r="158" spans="1:29" ht="15.6">
      <c r="A158" s="411" t="s">
        <v>437</v>
      </c>
    </row>
    <row r="159" spans="1:29">
      <c r="A159" s="6" t="s">
        <v>863</v>
      </c>
      <c r="B159" s="551">
        <f>IF(OR(B11="S",B11="C"),0,IF(OR(B11="1",B11="3"),ROUND(20*8*B17/365,5),ROUND(20*'New Hire'!C24*B17/365,5)))+'UAT8-Aug'!B116-B87*8</f>
        <v>111.67120999999999</v>
      </c>
      <c r="C159" s="551">
        <f>IF(OR(C11="S",C11="C"),0,IF(OR(C11="1",C11="3"),ROUND(20*8*C17/365,5),ROUND(20*'New Hire'!D24*C17/365,5)))+'UAT8-Aug'!C116-C87*8</f>
        <v>82.377040000000008</v>
      </c>
      <c r="D159" s="551"/>
      <c r="E159" s="551">
        <f>IF(OR(E11="S",E11="C"),0,IF(OR(E11="1",E11="3"),ROUND(20*8*E17/365,5),ROUND(20*'New Hire'!F24*E17/365,5)))+'UAT8-Aug'!E116-E87*8</f>
        <v>119.67120999999999</v>
      </c>
      <c r="F159" s="551">
        <f>IF(OR(F11="S",F11="C"),0,IF(OR(F11="1",F11="3"),ROUND(20*8*F17/365,5),ROUND(20*'New Hire'!G24*F17/365,5)))+'UAT8-Aug'!F116-F87*8</f>
        <v>95.736979999999988</v>
      </c>
      <c r="G159" s="551">
        <f>IF(OR(G11="S",G11="C"),0,IF(OR(G11="1",G11="3"),ROUND(20*8*G17/365,5),ROUND(20*'New Hire'!H24*G17/365,5)))+'UAT8-Aug'!G116-G87*8</f>
        <v>0</v>
      </c>
      <c r="H159" s="551">
        <f>IF(OR(H11="S",H11="C"),0,IF(OR(H11="1",H11="3"),ROUND(20*8*H17/365,5),ROUND(20*'New Hire'!I24*H17/365,5)))+'UAT8-Aug'!H116-H87*8</f>
        <v>59.835609999999996</v>
      </c>
      <c r="I159" s="551">
        <f>IF(OR(I11="S",I11="C"),0,IF(OR(I11="1",I11="3"),ROUND(20*8*I17/365,5),ROUND(20*'New Hire'!J24*I17/365,5)))+'UAT8-Aug'!I116-I87*8</f>
        <v>0</v>
      </c>
      <c r="J159" s="551">
        <f>IF(OR(J11="S",J11="C"),0,IF(OR(J11="1",J11="3"),ROUND(20*8*J17/365,5),ROUND(20*'New Hire'!K24*J17/365,5)))+'UAT8-Aug'!J116-J87*8</f>
        <v>32.219180000000001</v>
      </c>
      <c r="K159" s="551">
        <f>IF(OR(K11="S",K11="C"),0,IF(OR(K11="1",K11="3"),ROUND(20*8*K17/365,5),ROUND(20*'New Hire'!L24*K17/365,5)))+'UAT8-Aug'!K116-K87*8</f>
        <v>119.67120999999999</v>
      </c>
      <c r="L159" s="551">
        <f>IF(OR(L11="S",L11="C"),0,IF(OR(L11="1",L11="3"),ROUND(20*8*L17/365,5),ROUND(20*'New Hire'!M24*L17/365,5)))+'UAT8-Aug'!L116-L87*8</f>
        <v>119.67120999999999</v>
      </c>
      <c r="M159" s="551">
        <f>IF(OR(M11="S",M11="C"),0,IF(OR(M11="1",M11="3"),ROUND(20*8*M17/365,5),ROUND(20*'New Hire'!N24*M17/365,5)))+'UAT8-Aug'!M116-M87*8</f>
        <v>119.67120999999999</v>
      </c>
      <c r="N159" s="551">
        <f>IF(OR(N11="S",N11="C"),0,IF(OR(N11="1",N11="3"),ROUND(20*8*N17/365,5),ROUND(20*'New Hire'!O24*N17/365,5)))+'UAT8-Aug'!N116-N87*8</f>
        <v>119.67120999999999</v>
      </c>
      <c r="O159" s="551">
        <v>0</v>
      </c>
    </row>
    <row r="160" spans="1:29">
      <c r="A160" s="6" t="s">
        <v>864</v>
      </c>
      <c r="B160" s="552">
        <f>IF(OR(B11="S",B11="C"),0,IF(OR(B11="1",B11="3"),ROUND(10*8*B17/365,5),ROUND(10*'New Hire'!C24*B17/365,5)))+'UAT8-Aug'!B117-B88*8</f>
        <v>59.835609999999996</v>
      </c>
      <c r="C160" s="552">
        <f>IF(OR(C11="S",C11="C"),0,IF(OR(C11="1",C11="3"),ROUND(10*8*C17/365,5),ROUND(10*'New Hire'!D24*C17/365,5)))+'UAT8-Aug'!C117-C88*8</f>
        <v>-36.811489999999999</v>
      </c>
      <c r="D160" s="552"/>
      <c r="E160" s="552">
        <f>IF(OR(E11="S",E11="C"),0,IF(OR(E11="1",E11="3"),ROUND(10*8*E17/365,5),ROUND(10*'New Hire'!F24*E17/365,5)))+'UAT8-Aug'!E117-E88*8</f>
        <v>59.835609999999996</v>
      </c>
      <c r="F160" s="552">
        <f>IF(OR(F11="S",F11="C"),0,IF(OR(F11="1",F11="3"),ROUND(10*8*F17/365,5),ROUND(10*'New Hire'!G24*F17/365,5)))+'UAT8-Aug'!F117-F88*8</f>
        <v>47.868499999999997</v>
      </c>
      <c r="G160" s="552">
        <f>IF(OR(G11="S",G11="C"),0,IF(OR(G11="1",G11="3"),ROUND(10*8*G17/365,5),ROUND(10*'New Hire'!H24*G17/365,5)))+'UAT8-Aug'!G117-G88*8</f>
        <v>0</v>
      </c>
      <c r="H160" s="552">
        <f>IF(OR(H11="S",H11="C"),0,IF(OR(H11="1",H11="3"),ROUND(10*8*H17/365,5),ROUND(10*'New Hire'!I24*H17/365,5)))+'UAT8-Aug'!H117-H88*8</f>
        <v>29.917799999999996</v>
      </c>
      <c r="I160" s="552">
        <f>IF(OR(I11="S",I11="C"),0,IF(OR(I11="1",I11="3"),ROUND(10*8*I17/365,5),ROUND(10*'New Hire'!J24*I17/365,5)))+'UAT8-Aug'!I117-I88*8</f>
        <v>0</v>
      </c>
      <c r="J160" s="552">
        <f>IF(OR(J11="S",J11="C"),0,IF(OR(J11="1",J11="3"),ROUND(10*8*J17/365,5),ROUND(10*'New Hire'!K24*J17/365,5)))+'UAT8-Aug'!J117-J88*8</f>
        <v>16.1096</v>
      </c>
      <c r="K160" s="552">
        <f>IF(OR(K11="S",K11="C"),0,IF(OR(K11="1",K11="3"),ROUND(10*8*K17/365,5),ROUND(10*'New Hire'!L24*K17/365,5)))+'UAT8-Aug'!K117-K88*8</f>
        <v>59.835609999999996</v>
      </c>
      <c r="L160" s="552">
        <f>IF(OR(L11="S",L11="C"),0,IF(OR(L11="1",L11="3"),ROUND(10*8*L17/365,5),ROUND(10*'New Hire'!M24*L17/365,5)))+'UAT8-Aug'!L117-L88*8</f>
        <v>59.835609999999996</v>
      </c>
      <c r="M160" s="552">
        <f>IF(OR(M11="S",M11="C"),0,IF(OR(M11="1",M11="3"),ROUND(10*8*M17/365,5),ROUND(10*'New Hire'!N24*M17/365,5)))+'UAT8-Aug'!M117-M88*8</f>
        <v>59.835609999999996</v>
      </c>
      <c r="N160" s="552">
        <f>IF(OR(N11="S",N11="C"),0,IF(OR(N11="1",N11="3"),ROUND(10*8*N17/365,5),ROUND(10*'New Hire'!O24*N17/365,5)))+'UAT8-Aug'!N117-N88*8</f>
        <v>59.835609999999996</v>
      </c>
      <c r="O160" s="552">
        <v>0</v>
      </c>
    </row>
    <row r="161" spans="1:16">
      <c r="A161" s="445" t="s">
        <v>829</v>
      </c>
      <c r="B161" s="551">
        <f>IF(B154&lt;&gt;0,0,IF('New Hire'!C78=1,ROUND(25/10*B13%/365,5)*B17,0)+'UAT8-Aug'!B118)</f>
        <v>0</v>
      </c>
      <c r="C161" s="551">
        <f>IF(C154&lt;&gt;0,0,IF('New Hire'!D78=1,ROUND(25/10*C13%/365,5)*C17,0)+'UAT8-Aug'!C118)</f>
        <v>0</v>
      </c>
      <c r="D161" s="551"/>
      <c r="E161" s="551">
        <f>IF(E154&lt;&gt;0,0,IF('New Hire'!F78=1,ROUND(25/10*E13%/365,5)*E17,0)+'UAT8-Aug'!E118)</f>
        <v>0</v>
      </c>
      <c r="F161" s="551">
        <f>IF(F154&lt;&gt;0,0,IF('New Hire'!G78=1,ROUND(25/10*F13%/365,5)*F17,0)+'UAT8-Aug'!F118)</f>
        <v>0</v>
      </c>
      <c r="G161" s="551">
        <f>IF(G154&lt;&gt;0,0,IF('New Hire'!H78=1,ROUND(25/10*G13%/365,5)*G17,0)+'UAT8-Aug'!G118)</f>
        <v>0</v>
      </c>
      <c r="H161" s="551">
        <f>IF(H154&lt;&gt;0,0,IF('New Hire'!I78=1,ROUND(25/10*H13%/365,5)*H17,0)+'UAT8-Aug'!H118)</f>
        <v>0</v>
      </c>
      <c r="I161" s="551">
        <f>IF(I154&lt;&gt;0,0,IF('New Hire'!J78=1,ROUND(25/10*I13%/365,5)*I17,0)+'UAT8-Aug'!I118)</f>
        <v>0</v>
      </c>
      <c r="J161" s="551">
        <f>IF(J154&lt;&gt;0,0,IF('New Hire'!K78=1,ROUND(25/10*J13%/365,5)*J17,0)+'UAT8-Aug'!J118)</f>
        <v>0</v>
      </c>
      <c r="K161" s="551">
        <f>IF(K154&lt;&gt;0,0,IF('New Hire'!L78=1,ROUND(25/10*K13%/365,5)*K17,0)+'UAT8-Aug'!K118)</f>
        <v>0</v>
      </c>
      <c r="L161" s="551">
        <f>IF(L154&lt;&gt;0,0,IF('New Hire'!M78=1,ROUND(25/10*L13%/365,5)*L17,0)+'UAT8-Aug'!L118)</f>
        <v>0</v>
      </c>
      <c r="M161" s="551">
        <f>IF(M154&lt;&gt;0,0,IF('New Hire'!N78=1,ROUND(25/10*M13%/365,5)*M17,0)+'UAT8-Aug'!M118)</f>
        <v>0</v>
      </c>
      <c r="N161" s="551">
        <f>IF(N154&lt;&gt;0,0,IF('New Hire'!O78=1,ROUND(25/10*N13%/365,5)*N17,0)+'UAT8-Aug'!N118)</f>
        <v>0</v>
      </c>
      <c r="O161" s="551">
        <f>IF(O154&lt;&gt;0,0,IF('New Hire'!P78=1,ROUND(25/10*O13%/365,5)*O17,0)+'UAT8-Aug'!O118)</f>
        <v>0</v>
      </c>
      <c r="P161" s="291"/>
    </row>
    <row r="162" spans="1:16">
      <c r="A162" s="445" t="s">
        <v>830</v>
      </c>
      <c r="B162" s="552">
        <f>IF(B11="C",0,IF(B155&lt;&gt;0,0,IF('New Hire'!C78=1,0,ROUND(5/5*B13%/365,5)*B17)+'UAT8-Aug'!B119))</f>
        <v>0</v>
      </c>
      <c r="C162" s="552">
        <f>IF(C11="C",0,IF(C155&lt;&gt;0,0,IF('New Hire'!D78=1,0,ROUND(5/5*C13%/365,5)*C17)+'UAT8-Aug'!C119))</f>
        <v>0.37400999999999995</v>
      </c>
      <c r="D162" s="552"/>
      <c r="E162" s="552">
        <f>IF(E11="C",0,IF(E155&lt;&gt;0,0,IF('New Hire'!F78=1,0,ROUND(5/5*E13%/365,5)*E17)+'UAT8-Aug'!E119))</f>
        <v>0.74801999999999991</v>
      </c>
      <c r="F162" s="552">
        <f>IF(F11="C",0,IF(F155&lt;&gt;0,0,IF('New Hire'!G78=1,0,ROUND(5/5*F13%/365,5)*F17)+'UAT8-Aug'!F119))</f>
        <v>0</v>
      </c>
      <c r="G162" s="552">
        <f>IF(G11="C",0,IF(G155&lt;&gt;0,0,IF('New Hire'!H78=1,0,ROUND(5/5*G13%/365,5)*G17)+'UAT8-Aug'!G119))</f>
        <v>0</v>
      </c>
      <c r="H162" s="552">
        <f>IF(H11="C",0,IF(H155&lt;&gt;0,0,IF('New Hire'!I78=1,0,ROUND(5/5*H13%/365,5)*H17)+'UAT8-Aug'!H119))</f>
        <v>0.37400999999999995</v>
      </c>
      <c r="I162" s="552">
        <f>IF(I11="C",0,IF(I155&lt;&gt;0,0,IF('New Hire'!J78=1,0,ROUND(5/5*I13%/365,5)*I17)+'UAT8-Aug'!I119))</f>
        <v>0.70143999999999984</v>
      </c>
      <c r="J162" s="552">
        <f>IF(J11="C",0,IF(J155&lt;&gt;0,0,IF('New Hire'!K78=1,0,ROUND(5/5*J13%/365,5)*J17)+'UAT8-Aug'!J119))</f>
        <v>0.33565</v>
      </c>
      <c r="K162" s="552">
        <f>IF(K11="C",0,IF(K155&lt;&gt;0,0,IF('New Hire'!L78=1,0,ROUND(5/5*K13%/365,5)*K17)+'UAT8-Aug'!K119))</f>
        <v>0</v>
      </c>
      <c r="L162" s="552">
        <f>IF(L11="C",0,IF(L155&lt;&gt;0,0,IF('New Hire'!M78=1,0,ROUND(5/5*L13%/365,5)*L17)+'UAT8-Aug'!L119))</f>
        <v>0</v>
      </c>
      <c r="M162" s="552">
        <f>IF(M11="C",0,IF(M155&lt;&gt;0,0,IF('New Hire'!N78=1,0,ROUND(5/5*M13%/365,5)*M17)+'UAT8-Aug'!M119))</f>
        <v>0.74801999999999991</v>
      </c>
      <c r="N162" s="552">
        <f>IF(N11="C",0,IF(N155&lt;&gt;0,0,IF('New Hire'!O78=1,0,ROUND(5/5*N13%/365,5)*N17)+'UAT8-Aug'!N119))</f>
        <v>0.74801999999999991</v>
      </c>
      <c r="O162" s="552">
        <f>IF(O11="C",0,IF(O155&lt;&gt;0,0,IF('New Hire'!P78=1,0,ROUND(5/5*O13%/365,5)*O17)+'UAT8-Aug'!O119))</f>
        <v>0</v>
      </c>
    </row>
    <row r="163" spans="1:16">
      <c r="A163" s="445"/>
      <c r="B163" s="549"/>
      <c r="C163" s="549"/>
      <c r="D163" s="549"/>
      <c r="E163" s="549"/>
      <c r="F163" s="549"/>
      <c r="G163" s="549"/>
      <c r="H163" s="549"/>
      <c r="I163" s="549"/>
      <c r="J163" s="549"/>
      <c r="K163" s="549"/>
      <c r="L163" s="549"/>
      <c r="M163" s="549"/>
      <c r="N163" s="549"/>
      <c r="O163" s="549"/>
    </row>
    <row r="164" spans="1:16" ht="15.6">
      <c r="A164" s="411" t="s">
        <v>629</v>
      </c>
    </row>
    <row r="165" spans="1:16">
      <c r="A165" s="535" t="s">
        <v>479</v>
      </c>
      <c r="B165" s="536">
        <v>7000000</v>
      </c>
      <c r="C165" s="536">
        <v>6200000</v>
      </c>
      <c r="D165" s="536"/>
      <c r="E165" s="536">
        <v>11000000</v>
      </c>
      <c r="F165" s="536">
        <v>16000000</v>
      </c>
      <c r="H165" s="536">
        <v>5500</v>
      </c>
      <c r="I165" s="536">
        <v>4200</v>
      </c>
      <c r="J165" s="536">
        <v>55000000</v>
      </c>
      <c r="K165" s="536">
        <v>10000000</v>
      </c>
      <c r="L165" s="536">
        <v>11500000</v>
      </c>
      <c r="M165" s="536">
        <v>7000000</v>
      </c>
      <c r="N165" s="536">
        <v>8000000</v>
      </c>
    </row>
    <row r="166" spans="1:16">
      <c r="A166" s="445" t="s">
        <v>776</v>
      </c>
      <c r="B166" s="452"/>
      <c r="C166" s="452"/>
      <c r="D166" s="452"/>
      <c r="E166" s="452"/>
      <c r="F166" s="452"/>
      <c r="G166" s="536">
        <v>250</v>
      </c>
      <c r="H166" s="452"/>
      <c r="I166" s="452"/>
      <c r="J166" s="452"/>
      <c r="K166" s="452"/>
      <c r="L166" s="452"/>
      <c r="M166" s="452"/>
      <c r="N166" s="452"/>
      <c r="O166" s="536">
        <v>900000</v>
      </c>
    </row>
    <row r="167" spans="1:16">
      <c r="A167" s="451" t="s">
        <v>496</v>
      </c>
      <c r="B167" s="452">
        <v>700000</v>
      </c>
      <c r="C167" s="452">
        <v>620000</v>
      </c>
      <c r="D167" s="452"/>
      <c r="E167" s="452">
        <v>0</v>
      </c>
      <c r="F167" s="452">
        <v>0</v>
      </c>
      <c r="G167" s="452">
        <v>0</v>
      </c>
      <c r="H167" s="452">
        <v>550</v>
      </c>
      <c r="I167" s="452">
        <v>0</v>
      </c>
      <c r="J167" s="452">
        <v>5500000</v>
      </c>
      <c r="K167" s="452">
        <v>1000000</v>
      </c>
      <c r="L167" s="452">
        <v>0</v>
      </c>
      <c r="M167" s="452">
        <v>1400000</v>
      </c>
      <c r="N167" s="452">
        <v>1200000</v>
      </c>
      <c r="O167" s="452">
        <f>'New Hire'!P34</f>
        <v>0</v>
      </c>
    </row>
    <row r="168" spans="1:16">
      <c r="A168" s="415" t="s">
        <v>569</v>
      </c>
      <c r="B168" s="452">
        <v>1400000</v>
      </c>
      <c r="C168" s="452">
        <v>1240000</v>
      </c>
      <c r="D168" s="452"/>
      <c r="E168" s="452">
        <v>0</v>
      </c>
      <c r="F168" s="452">
        <v>0</v>
      </c>
      <c r="G168" s="452">
        <v>0</v>
      </c>
      <c r="H168" s="452">
        <v>1100</v>
      </c>
      <c r="I168" s="452">
        <v>0</v>
      </c>
      <c r="J168" s="452">
        <v>11000000</v>
      </c>
      <c r="K168" s="452">
        <v>2000000</v>
      </c>
      <c r="L168" s="452">
        <v>0</v>
      </c>
      <c r="M168" s="452">
        <v>2100000</v>
      </c>
      <c r="N168" s="452">
        <v>1650000</v>
      </c>
      <c r="O168" s="452">
        <f>'New Hire'!P36</f>
        <v>0</v>
      </c>
    </row>
    <row r="169" spans="1:16">
      <c r="A169" s="423" t="s">
        <v>495</v>
      </c>
      <c r="B169" s="452">
        <f>AA42</f>
        <v>3000000</v>
      </c>
      <c r="C169" s="452">
        <f>AA43</f>
        <v>3000000</v>
      </c>
      <c r="D169" s="452"/>
      <c r="E169" s="452">
        <f>AA44</f>
        <v>3000000</v>
      </c>
      <c r="F169" s="452">
        <f>AA45</f>
        <v>3000000</v>
      </c>
      <c r="G169" s="452"/>
      <c r="H169" s="452"/>
      <c r="I169" s="452"/>
      <c r="J169" s="452">
        <f>AA46</f>
        <v>3000000</v>
      </c>
      <c r="K169" s="452">
        <f>AA47</f>
        <v>3000000</v>
      </c>
      <c r="L169" s="452">
        <f>AA48</f>
        <v>3000000</v>
      </c>
      <c r="M169" s="452">
        <f>AA49</f>
        <v>3000000</v>
      </c>
      <c r="N169" s="452">
        <f>AA50</f>
        <v>3000000</v>
      </c>
      <c r="O169" s="452"/>
    </row>
    <row r="170" spans="1:16">
      <c r="A170" s="412" t="s">
        <v>530</v>
      </c>
      <c r="B170" s="452">
        <f>AA51</f>
        <v>3500000</v>
      </c>
      <c r="C170" s="452">
        <f>AA52</f>
        <v>3500000</v>
      </c>
      <c r="D170" s="452"/>
      <c r="E170" s="452">
        <f>AA53</f>
        <v>3500000</v>
      </c>
      <c r="F170" s="452">
        <f>AA54</f>
        <v>3500000</v>
      </c>
      <c r="G170" s="452"/>
      <c r="H170" s="452">
        <f>AA55</f>
        <v>200</v>
      </c>
      <c r="I170" s="452">
        <f>AA56</f>
        <v>200</v>
      </c>
      <c r="J170" s="452">
        <f>AA57</f>
        <v>3500000</v>
      </c>
      <c r="K170" s="452">
        <f>AA58</f>
        <v>3500000</v>
      </c>
      <c r="L170" s="452">
        <f>AA59</f>
        <v>3500000</v>
      </c>
      <c r="M170" s="452">
        <f>AA60</f>
        <v>3500000</v>
      </c>
      <c r="N170" s="452">
        <f>AA61</f>
        <v>3500000</v>
      </c>
      <c r="O170" s="452"/>
    </row>
    <row r="171" spans="1:16">
      <c r="A171" s="423" t="s">
        <v>598</v>
      </c>
      <c r="B171" s="452">
        <f>AA73</f>
        <v>2500000</v>
      </c>
      <c r="C171" s="452">
        <f>AA74</f>
        <v>2500000</v>
      </c>
      <c r="D171" s="452"/>
      <c r="E171" s="452">
        <f>AA75</f>
        <v>2500000</v>
      </c>
      <c r="F171" s="452">
        <f>AA76</f>
        <v>2500000</v>
      </c>
      <c r="G171" s="452"/>
      <c r="H171" s="452"/>
      <c r="I171" s="452"/>
      <c r="J171" s="452">
        <f>AA77</f>
        <v>2500000</v>
      </c>
      <c r="K171" s="452">
        <f>AA78</f>
        <v>2500000</v>
      </c>
      <c r="L171" s="452">
        <f>AA79</f>
        <v>2500000</v>
      </c>
      <c r="M171" s="452">
        <f>AA80</f>
        <v>2500000</v>
      </c>
      <c r="N171" s="452">
        <f>AA81</f>
        <v>2500000</v>
      </c>
      <c r="O171" s="452"/>
    </row>
    <row r="172" spans="1:16">
      <c r="A172" s="415" t="s">
        <v>493</v>
      </c>
      <c r="B172" s="452">
        <f>AA82</f>
        <v>730000</v>
      </c>
      <c r="C172" s="452">
        <f>AA83</f>
        <v>730000</v>
      </c>
      <c r="D172" s="452"/>
      <c r="E172" s="452">
        <f>AA84</f>
        <v>730000</v>
      </c>
      <c r="F172" s="452">
        <f>AA85</f>
        <v>730000</v>
      </c>
      <c r="G172" s="452"/>
      <c r="H172" s="452"/>
      <c r="I172" s="452"/>
      <c r="J172" s="452">
        <f>AA86</f>
        <v>730000</v>
      </c>
      <c r="K172" s="452">
        <f>AA87</f>
        <v>730000</v>
      </c>
      <c r="L172" s="452">
        <f>AA88</f>
        <v>730000</v>
      </c>
      <c r="M172" s="452">
        <f>AA89</f>
        <v>730000</v>
      </c>
      <c r="N172" s="452">
        <f>AA90</f>
        <v>730000</v>
      </c>
      <c r="O172" s="452"/>
    </row>
    <row r="173" spans="1:16">
      <c r="A173" s="415" t="s">
        <v>499</v>
      </c>
      <c r="B173" s="452">
        <f>AA62</f>
        <v>4000000</v>
      </c>
      <c r="C173" s="452">
        <f>AA63</f>
        <v>4000000</v>
      </c>
      <c r="D173" s="452"/>
      <c r="E173" s="452">
        <f>AA64</f>
        <v>4000000</v>
      </c>
      <c r="F173" s="452">
        <f>AA65</f>
        <v>4000000</v>
      </c>
      <c r="G173" s="452"/>
      <c r="H173" s="452">
        <f>AA66</f>
        <v>225</v>
      </c>
      <c r="I173" s="452">
        <f>AA67</f>
        <v>225</v>
      </c>
      <c r="J173" s="452">
        <f>AA68</f>
        <v>4000000</v>
      </c>
      <c r="K173" s="452">
        <f>AA69</f>
        <v>4000000</v>
      </c>
      <c r="L173" s="452">
        <f>AA70</f>
        <v>4000000</v>
      </c>
      <c r="M173" s="452">
        <f>AA71</f>
        <v>4000000</v>
      </c>
      <c r="N173" s="452">
        <f>AA72</f>
        <v>4000000</v>
      </c>
      <c r="O173" s="452"/>
    </row>
    <row r="174" spans="1:16">
      <c r="A174" s="6" t="s">
        <v>630</v>
      </c>
      <c r="B174" s="452">
        <f>B97+B98+B99</f>
        <v>5</v>
      </c>
      <c r="C174" s="452">
        <f>C97+C98+C99</f>
        <v>2</v>
      </c>
      <c r="D174" s="452"/>
      <c r="E174" s="452">
        <f t="shared" ref="E174:O174" si="64">E97+E98+E99</f>
        <v>0</v>
      </c>
      <c r="F174" s="452">
        <f t="shared" si="64"/>
        <v>0</v>
      </c>
      <c r="G174" s="452">
        <f t="shared" si="64"/>
        <v>0</v>
      </c>
      <c r="H174" s="452">
        <f t="shared" si="64"/>
        <v>0</v>
      </c>
      <c r="I174" s="452">
        <f t="shared" si="64"/>
        <v>0</v>
      </c>
      <c r="J174" s="452">
        <f t="shared" si="64"/>
        <v>0</v>
      </c>
      <c r="K174" s="452">
        <f t="shared" si="64"/>
        <v>1</v>
      </c>
      <c r="L174" s="452">
        <f t="shared" si="64"/>
        <v>0</v>
      </c>
      <c r="M174" s="452">
        <f t="shared" si="64"/>
        <v>12</v>
      </c>
      <c r="N174" s="452">
        <f t="shared" si="64"/>
        <v>12</v>
      </c>
      <c r="O174" s="452">
        <f t="shared" si="64"/>
        <v>0</v>
      </c>
    </row>
    <row r="175" spans="1:16">
      <c r="A175" s="6" t="s">
        <v>632</v>
      </c>
      <c r="B175" s="452">
        <f>B102+B103</f>
        <v>0</v>
      </c>
      <c r="C175" s="452">
        <f>C102+C103</f>
        <v>0.5</v>
      </c>
      <c r="D175" s="452"/>
      <c r="E175" s="452">
        <f t="shared" ref="E175:O175" si="65">E102+E103</f>
        <v>0</v>
      </c>
      <c r="F175" s="452">
        <f t="shared" si="65"/>
        <v>0</v>
      </c>
      <c r="G175" s="452">
        <f t="shared" si="65"/>
        <v>0</v>
      </c>
      <c r="H175" s="452">
        <f t="shared" si="65"/>
        <v>0</v>
      </c>
      <c r="I175" s="452">
        <f t="shared" si="65"/>
        <v>0</v>
      </c>
      <c r="J175" s="452">
        <f t="shared" si="65"/>
        <v>0</v>
      </c>
      <c r="K175" s="452">
        <f t="shared" si="65"/>
        <v>6</v>
      </c>
      <c r="L175" s="452">
        <f t="shared" si="65"/>
        <v>0</v>
      </c>
      <c r="M175" s="452">
        <f t="shared" si="65"/>
        <v>0</v>
      </c>
      <c r="N175" s="452">
        <f t="shared" si="65"/>
        <v>0</v>
      </c>
      <c r="O175" s="452">
        <f t="shared" si="65"/>
        <v>0</v>
      </c>
    </row>
    <row r="176" spans="1:16">
      <c r="A176" s="412" t="s">
        <v>613</v>
      </c>
      <c r="B176" s="452"/>
      <c r="C176" s="452"/>
      <c r="D176" s="452"/>
      <c r="E176" s="452"/>
      <c r="F176" s="452"/>
      <c r="G176" s="452"/>
      <c r="H176" s="452">
        <v>100</v>
      </c>
      <c r="I176" s="452">
        <v>100</v>
      </c>
      <c r="J176" s="452"/>
      <c r="K176" s="452"/>
      <c r="L176" s="452"/>
      <c r="M176" s="452"/>
      <c r="N176" s="452"/>
      <c r="O176" s="452"/>
    </row>
    <row r="177" spans="1:15">
      <c r="A177" s="412" t="s">
        <v>614</v>
      </c>
      <c r="B177" s="452"/>
      <c r="C177" s="452"/>
      <c r="D177" s="452"/>
      <c r="E177" s="452"/>
      <c r="F177" s="452"/>
      <c r="G177" s="452"/>
      <c r="H177" s="452">
        <v>200</v>
      </c>
      <c r="I177" s="452">
        <v>200</v>
      </c>
      <c r="J177" s="452"/>
      <c r="K177" s="452"/>
      <c r="L177" s="452"/>
      <c r="M177" s="452"/>
      <c r="N177" s="452"/>
      <c r="O177" s="452"/>
    </row>
    <row r="178" spans="1:15">
      <c r="A178" s="6" t="s">
        <v>633</v>
      </c>
      <c r="B178" s="452">
        <f>IF(OR(B19="A",B19="B"),B165,(B165-B176-B177)*B114)</f>
        <v>7000000</v>
      </c>
      <c r="C178" s="452">
        <f>IF(OR(C19="A",C19="B"),C165,(C165-C176-C177)*C114)</f>
        <v>6200000</v>
      </c>
      <c r="D178" s="452"/>
      <c r="E178" s="452">
        <f t="shared" ref="E178:O178" si="66">IF(OR(E19="A",E19="B"),E165,(E165-E176-E177)*E114)</f>
        <v>11000000</v>
      </c>
      <c r="F178" s="452">
        <f t="shared" si="66"/>
        <v>16000000</v>
      </c>
      <c r="G178" s="452">
        <f t="shared" si="66"/>
        <v>0</v>
      </c>
      <c r="H178" s="452">
        <f t="shared" si="66"/>
        <v>5200</v>
      </c>
      <c r="I178" s="452">
        <f t="shared" si="66"/>
        <v>3900</v>
      </c>
      <c r="J178" s="452">
        <f t="shared" si="66"/>
        <v>55000000</v>
      </c>
      <c r="K178" s="452">
        <f t="shared" si="66"/>
        <v>10000000</v>
      </c>
      <c r="L178" s="452">
        <f t="shared" si="66"/>
        <v>11500000</v>
      </c>
      <c r="M178" s="452">
        <f t="shared" si="66"/>
        <v>7000000</v>
      </c>
      <c r="N178" s="452">
        <f t="shared" si="66"/>
        <v>8000000</v>
      </c>
      <c r="O178" s="452">
        <f t="shared" si="66"/>
        <v>0</v>
      </c>
    </row>
    <row r="179" spans="1:15">
      <c r="A179" s="6" t="s">
        <v>635</v>
      </c>
      <c r="B179" s="452">
        <f t="shared" ref="B179:O179" si="67">IF(B11="C",0,IF(OR(B19="A",B19="B"),0,ROUND(B178*$B$5,0)+ROUND(B167*$B$5,0)+ROUND(B168*$B$5,0)+ROUND(B170*$B$5,0)))</f>
        <v>0</v>
      </c>
      <c r="C179" s="452">
        <f t="shared" si="67"/>
        <v>0</v>
      </c>
      <c r="D179" s="452">
        <f t="shared" si="67"/>
        <v>0</v>
      </c>
      <c r="E179" s="452">
        <f t="shared" si="67"/>
        <v>0</v>
      </c>
      <c r="F179" s="452">
        <f t="shared" si="67"/>
        <v>0</v>
      </c>
      <c r="G179" s="452">
        <f t="shared" si="67"/>
        <v>0</v>
      </c>
      <c r="H179" s="452">
        <f t="shared" si="67"/>
        <v>165675000</v>
      </c>
      <c r="I179" s="452">
        <f t="shared" si="67"/>
        <v>96350000</v>
      </c>
      <c r="J179" s="452">
        <f t="shared" si="67"/>
        <v>0</v>
      </c>
      <c r="K179" s="452">
        <f t="shared" si="67"/>
        <v>0</v>
      </c>
      <c r="L179" s="452">
        <f t="shared" si="67"/>
        <v>0</v>
      </c>
      <c r="M179" s="452">
        <f t="shared" si="67"/>
        <v>0</v>
      </c>
      <c r="N179" s="452">
        <f t="shared" si="67"/>
        <v>0</v>
      </c>
      <c r="O179" s="452">
        <f t="shared" si="67"/>
        <v>0</v>
      </c>
    </row>
    <row r="180" spans="1:15">
      <c r="A180" s="6" t="s">
        <v>665</v>
      </c>
      <c r="B180" s="578">
        <f>SUM(B141:B143)</f>
        <v>5</v>
      </c>
      <c r="C180" s="578">
        <f t="shared" ref="C180:O180" si="68">SUM(C141:C143)</f>
        <v>2</v>
      </c>
      <c r="D180" s="578"/>
      <c r="E180" s="578">
        <f t="shared" si="68"/>
        <v>0</v>
      </c>
      <c r="F180" s="578">
        <f t="shared" si="68"/>
        <v>0</v>
      </c>
      <c r="G180" s="578">
        <f t="shared" si="68"/>
        <v>0</v>
      </c>
      <c r="H180" s="578">
        <f t="shared" si="68"/>
        <v>0</v>
      </c>
      <c r="I180" s="578">
        <f t="shared" si="68"/>
        <v>0</v>
      </c>
      <c r="J180" s="578">
        <f t="shared" si="68"/>
        <v>0</v>
      </c>
      <c r="K180" s="578">
        <f t="shared" si="68"/>
        <v>1</v>
      </c>
      <c r="L180" s="578">
        <f t="shared" si="68"/>
        <v>0</v>
      </c>
      <c r="M180" s="578">
        <f t="shared" si="68"/>
        <v>12</v>
      </c>
      <c r="N180" s="578">
        <f t="shared" si="68"/>
        <v>12</v>
      </c>
      <c r="O180" s="578">
        <f t="shared" si="68"/>
        <v>0</v>
      </c>
    </row>
    <row r="181" spans="1:15">
      <c r="A181" s="6" t="s">
        <v>867</v>
      </c>
      <c r="B181" s="578"/>
      <c r="C181" s="578"/>
      <c r="D181" s="578"/>
      <c r="E181" s="578">
        <f>AC124</f>
        <v>15</v>
      </c>
      <c r="F181" s="578"/>
      <c r="G181" s="578"/>
      <c r="H181" s="578">
        <f>AC125</f>
        <v>12</v>
      </c>
      <c r="I181" s="578"/>
      <c r="J181" s="578"/>
      <c r="K181" s="578"/>
      <c r="L181" s="578"/>
      <c r="M181" s="578"/>
      <c r="N181" s="578"/>
      <c r="O181" s="578"/>
    </row>
  </sheetData>
  <mergeCells count="4">
    <mergeCell ref="G6:J6"/>
    <mergeCell ref="X6:AA6"/>
    <mergeCell ref="P7:P8"/>
    <mergeCell ref="X9:AA12"/>
  </mergeCells>
  <phoneticPr fontId="104" type="noConversion"/>
  <pageMargins left="0.75" right="0.75" top="1" bottom="1" header="0.5" footer="0.5"/>
  <pageSetup paperSize="9" orientation="portrait" verticalDpi="90" r:id="rId1"/>
  <headerFooter alignWithMargins="0"/>
  <drawing r:id="rId2"/>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79"/>
  <sheetViews>
    <sheetView workbookViewId="0">
      <pane xSplit="1" ySplit="9" topLeftCell="T30" activePane="bottomRight" state="frozen"/>
      <selection pane="topRight" activeCell="B1" sqref="B1"/>
      <selection pane="bottomLeft" activeCell="A10" sqref="A10"/>
      <selection pane="bottomRight" activeCell="AB39" sqref="AB39:AB40"/>
    </sheetView>
  </sheetViews>
  <sheetFormatPr defaultRowHeight="13.8"/>
  <cols>
    <col min="1" max="1" width="31" style="5" bestFit="1" customWidth="1"/>
    <col min="2" max="5" width="10.77734375" style="5" customWidth="1"/>
    <col min="6" max="8" width="10.77734375" customWidth="1"/>
    <col min="9" max="9" width="11.6640625" bestFit="1" customWidth="1"/>
    <col min="10" max="15" width="10.77734375" customWidth="1"/>
    <col min="16" max="16" width="12.6640625" bestFit="1" customWidth="1"/>
    <col min="17" max="18" width="12.77734375" customWidth="1"/>
    <col min="19" max="21" width="10.77734375" customWidth="1"/>
    <col min="22" max="26" width="9.33203125" style="5" customWidth="1"/>
    <col min="27" max="27" width="10.77734375" style="5" bestFit="1" customWidth="1"/>
    <col min="28" max="29" width="9.33203125" style="5" customWidth="1"/>
  </cols>
  <sheetData>
    <row r="1" spans="1:29" s="3" customFormat="1" ht="20.399999999999999">
      <c r="A1" s="110" t="s">
        <v>6</v>
      </c>
      <c r="B1" s="110"/>
      <c r="C1" s="110"/>
      <c r="D1" s="110"/>
      <c r="E1" s="110"/>
      <c r="F1" s="449"/>
      <c r="L1" s="8"/>
      <c r="X1" s="1"/>
      <c r="Y1" s="1"/>
      <c r="Z1" s="1"/>
      <c r="AA1" s="1"/>
      <c r="AB1" s="1"/>
      <c r="AC1" s="1"/>
    </row>
    <row r="2" spans="1:29" s="3" customFormat="1" ht="12.75" customHeight="1">
      <c r="B2" s="116"/>
      <c r="C2" s="116"/>
      <c r="D2" s="116"/>
      <c r="E2" s="115"/>
      <c r="V2" s="22"/>
      <c r="W2" s="22"/>
      <c r="X2" s="22"/>
      <c r="Y2" s="22"/>
      <c r="Z2" s="22"/>
      <c r="AA2" s="2"/>
      <c r="AC2" s="2"/>
    </row>
    <row r="3" spans="1:29" s="3" customFormat="1" ht="30">
      <c r="A3" s="112" t="s">
        <v>1202</v>
      </c>
      <c r="B3" s="116"/>
      <c r="C3" s="116"/>
      <c r="D3" s="116"/>
      <c r="E3" s="112"/>
      <c r="V3" s="22"/>
      <c r="W3" s="22"/>
      <c r="X3" s="22"/>
      <c r="Y3" s="22"/>
      <c r="Z3" s="22"/>
      <c r="AA3" s="2"/>
      <c r="AC3" s="2"/>
    </row>
    <row r="4" spans="1:29" s="116" customFormat="1">
      <c r="A4" s="116" t="s">
        <v>541</v>
      </c>
      <c r="B4" s="367">
        <v>23205</v>
      </c>
    </row>
    <row r="5" spans="1:29" s="116" customFormat="1">
      <c r="A5" s="116" t="s">
        <v>1273</v>
      </c>
      <c r="B5" s="367">
        <v>23500</v>
      </c>
    </row>
    <row r="6" spans="1:29" s="3" customFormat="1" ht="18" customHeight="1">
      <c r="A6" s="327">
        <v>43769</v>
      </c>
      <c r="B6" s="327"/>
      <c r="C6" s="116"/>
      <c r="D6" s="116"/>
      <c r="G6" s="721" t="s">
        <v>52</v>
      </c>
      <c r="H6" s="721"/>
      <c r="I6" s="721"/>
      <c r="J6" s="721"/>
      <c r="V6" s="22"/>
      <c r="W6" s="22"/>
      <c r="X6" s="720" t="s">
        <v>65</v>
      </c>
      <c r="Y6" s="720"/>
      <c r="Z6" s="720"/>
      <c r="AA6" s="720"/>
      <c r="AB6" s="2"/>
      <c r="AC6" s="2"/>
    </row>
    <row r="7" spans="1:29" s="4" customFormat="1">
      <c r="A7" s="409"/>
      <c r="B7" s="323" t="s">
        <v>34</v>
      </c>
      <c r="C7" s="324" t="s">
        <v>35</v>
      </c>
      <c r="D7" s="529" t="s">
        <v>36</v>
      </c>
      <c r="E7" s="324" t="s">
        <v>37</v>
      </c>
      <c r="F7" s="324" t="s">
        <v>38</v>
      </c>
      <c r="G7" s="324" t="s">
        <v>39</v>
      </c>
      <c r="H7" s="324" t="s">
        <v>40</v>
      </c>
      <c r="I7" s="324" t="s">
        <v>41</v>
      </c>
      <c r="J7" s="324" t="s">
        <v>42</v>
      </c>
      <c r="K7" s="324" t="s">
        <v>43</v>
      </c>
      <c r="L7" s="324" t="s">
        <v>44</v>
      </c>
      <c r="M7" s="324" t="s">
        <v>45</v>
      </c>
      <c r="N7" s="324" t="s">
        <v>46</v>
      </c>
      <c r="O7" s="324" t="s">
        <v>47</v>
      </c>
      <c r="P7" s="731" t="s">
        <v>500</v>
      </c>
      <c r="Q7" s="349" t="s">
        <v>516</v>
      </c>
      <c r="R7" s="349" t="s">
        <v>517</v>
      </c>
      <c r="S7" s="349" t="s">
        <v>519</v>
      </c>
      <c r="T7" s="349" t="s">
        <v>521</v>
      </c>
      <c r="U7" s="349" t="s">
        <v>523</v>
      </c>
      <c r="V7" s="350"/>
      <c r="W7" s="351"/>
      <c r="X7" s="351"/>
      <c r="Y7" s="351"/>
      <c r="Z7" s="351"/>
      <c r="AA7" s="351"/>
      <c r="AB7" s="351"/>
      <c r="AC7" s="352"/>
    </row>
    <row r="8" spans="1:29" ht="15.6">
      <c r="A8" s="410"/>
      <c r="B8" s="117">
        <f>'New Hire'!C6</f>
        <v>91999901</v>
      </c>
      <c r="C8" s="339">
        <f>'New Hire'!D6</f>
        <v>91999902</v>
      </c>
      <c r="D8" s="530">
        <f>'New Hire'!E6</f>
        <v>91999903</v>
      </c>
      <c r="E8" s="339">
        <f>'New Hire'!F6</f>
        <v>91999904</v>
      </c>
      <c r="F8" s="339">
        <f>'New Hire'!G6</f>
        <v>91999905</v>
      </c>
      <c r="G8" s="339">
        <f>'New Hire'!H6</f>
        <v>91999906</v>
      </c>
      <c r="H8" s="339">
        <f>'New Hire'!I6</f>
        <v>91999907</v>
      </c>
      <c r="I8" s="339">
        <f>'New Hire'!J6</f>
        <v>91999908</v>
      </c>
      <c r="J8" s="339">
        <f>'New Hire'!K6</f>
        <v>91999909</v>
      </c>
      <c r="K8" s="339">
        <f>'New Hire'!L6</f>
        <v>91999910</v>
      </c>
      <c r="L8" s="339">
        <f>'New Hire'!M6</f>
        <v>91999911</v>
      </c>
      <c r="M8" s="339">
        <f>'New Hire'!N6</f>
        <v>91999912</v>
      </c>
      <c r="N8" s="339">
        <f>'New Hire'!O6</f>
        <v>91999913</v>
      </c>
      <c r="O8" s="339">
        <f>'New Hire'!P6</f>
        <v>91999914</v>
      </c>
      <c r="P8" s="732"/>
      <c r="Q8" s="349" t="s">
        <v>515</v>
      </c>
      <c r="R8" s="349" t="s">
        <v>518</v>
      </c>
      <c r="S8" s="349" t="s">
        <v>520</v>
      </c>
      <c r="T8" s="349" t="s">
        <v>522</v>
      </c>
      <c r="U8" s="349" t="s">
        <v>524</v>
      </c>
      <c r="V8" s="47"/>
      <c r="W8" s="48"/>
      <c r="X8" s="20"/>
      <c r="Y8" s="20"/>
      <c r="Z8" s="20"/>
      <c r="AA8" s="20"/>
      <c r="AB8" s="20"/>
      <c r="AC8" s="15"/>
    </row>
    <row r="9" spans="1:29" ht="12.75" customHeight="1">
      <c r="A9" s="411" t="s">
        <v>63</v>
      </c>
      <c r="B9" s="23"/>
      <c r="C9" s="19"/>
      <c r="D9" s="19"/>
      <c r="E9" s="20"/>
      <c r="F9" s="19"/>
      <c r="G9" s="19"/>
      <c r="H9" s="21"/>
      <c r="I9" s="19"/>
      <c r="J9" s="19"/>
      <c r="K9" s="20"/>
      <c r="L9" s="20"/>
      <c r="M9" s="20"/>
      <c r="N9" s="20"/>
      <c r="O9" s="15"/>
      <c r="P9" s="15"/>
      <c r="Q9" s="20"/>
      <c r="R9" s="20"/>
      <c r="S9" s="20"/>
      <c r="T9" s="20"/>
      <c r="U9" s="20"/>
      <c r="V9" s="25"/>
      <c r="W9" s="26"/>
      <c r="X9" s="722" t="s">
        <v>608</v>
      </c>
      <c r="Y9" s="723"/>
      <c r="Z9" s="723"/>
      <c r="AA9" s="724"/>
      <c r="AB9" s="27"/>
      <c r="AC9" s="18"/>
    </row>
    <row r="10" spans="1:29">
      <c r="A10" s="424" t="s">
        <v>480</v>
      </c>
      <c r="B10" s="385">
        <v>43739</v>
      </c>
      <c r="C10" s="385">
        <v>43739</v>
      </c>
      <c r="D10" s="385">
        <v>43739</v>
      </c>
      <c r="E10" s="385">
        <v>43739</v>
      </c>
      <c r="F10" s="385">
        <v>43739</v>
      </c>
      <c r="G10" s="385">
        <v>43739</v>
      </c>
      <c r="H10" s="385">
        <v>43739</v>
      </c>
      <c r="I10" s="385">
        <v>43739</v>
      </c>
      <c r="J10" s="385">
        <v>43739</v>
      </c>
      <c r="K10" s="385">
        <v>43739</v>
      </c>
      <c r="L10" s="385">
        <v>43739</v>
      </c>
      <c r="M10" s="385">
        <v>43739</v>
      </c>
      <c r="N10" s="385">
        <v>43739</v>
      </c>
      <c r="O10" s="386">
        <v>43739</v>
      </c>
      <c r="P10" s="15"/>
      <c r="Q10" s="20"/>
      <c r="R10" s="20"/>
      <c r="S10" s="20"/>
      <c r="T10" s="20"/>
      <c r="U10" s="20"/>
      <c r="V10" s="28"/>
      <c r="W10" s="29"/>
      <c r="X10" s="725"/>
      <c r="Y10" s="726"/>
      <c r="Z10" s="726"/>
      <c r="AA10" s="727"/>
      <c r="AB10" s="30"/>
      <c r="AC10" s="15"/>
    </row>
    <row r="11" spans="1:29" ht="12.75" customHeight="1">
      <c r="A11" s="424" t="s">
        <v>491</v>
      </c>
      <c r="B11" s="337" t="str">
        <f>'New Hire'!C10</f>
        <v>1</v>
      </c>
      <c r="C11" s="337" t="str">
        <f>'New Hire'!D10</f>
        <v>P</v>
      </c>
      <c r="D11" s="337" t="str">
        <f>'New Hire'!E10</f>
        <v>3</v>
      </c>
      <c r="E11" s="337" t="str">
        <f>'New Hire'!F10</f>
        <v>3</v>
      </c>
      <c r="F11" s="337">
        <f>'New Hire'!G10</f>
        <v>4</v>
      </c>
      <c r="G11" s="337" t="str">
        <f>'New Hire'!H10</f>
        <v>C</v>
      </c>
      <c r="H11" s="337" t="str">
        <f>'New Hire'!I10</f>
        <v>I</v>
      </c>
      <c r="I11" s="337" t="str">
        <f>'New Hire'!J10</f>
        <v>S</v>
      </c>
      <c r="J11" s="337" t="str">
        <f>'New Hire'!K10</f>
        <v>P</v>
      </c>
      <c r="K11" s="337" t="str">
        <f>'New Hire'!L10</f>
        <v>1</v>
      </c>
      <c r="L11" s="337" t="str">
        <f>'New Hire'!M10</f>
        <v>1</v>
      </c>
      <c r="M11" s="337">
        <f>'New Hire'!N10</f>
        <v>3</v>
      </c>
      <c r="N11" s="337">
        <f>'New Hire'!O10</f>
        <v>3</v>
      </c>
      <c r="O11" s="393" t="str">
        <f>'New Hire'!P10</f>
        <v>C</v>
      </c>
      <c r="P11" s="15"/>
      <c r="Q11" s="20"/>
      <c r="R11" s="20"/>
      <c r="S11" s="20"/>
      <c r="T11" s="20"/>
      <c r="U11" s="20"/>
      <c r="V11" s="32"/>
      <c r="W11" s="20"/>
      <c r="X11" s="725"/>
      <c r="Y11" s="726"/>
      <c r="Z11" s="726"/>
      <c r="AA11" s="727"/>
      <c r="AB11" s="20"/>
      <c r="AC11" s="15"/>
    </row>
    <row r="12" spans="1:29" ht="12.75" customHeight="1">
      <c r="A12" s="99" t="s">
        <v>492</v>
      </c>
      <c r="B12" s="390" t="str">
        <f>'New Hire'!C11</f>
        <v>;P</v>
      </c>
      <c r="C12" s="391" t="str">
        <f>'New Hire'!D11</f>
        <v>;A</v>
      </c>
      <c r="D12" s="391" t="str">
        <f>'New Hire'!E11</f>
        <v>;E</v>
      </c>
      <c r="E12" s="391" t="str">
        <f>'New Hire'!F11</f>
        <v>;I</v>
      </c>
      <c r="F12" s="391" t="str">
        <f>'New Hire'!G11</f>
        <v>;P</v>
      </c>
      <c r="G12" s="391" t="str">
        <f>'New Hire'!H11</f>
        <v>;A</v>
      </c>
      <c r="H12" s="391" t="str">
        <f>'New Hire'!I11</f>
        <v>;A</v>
      </c>
      <c r="I12" s="391" t="str">
        <f>'New Hire'!J11</f>
        <v>;V</v>
      </c>
      <c r="J12" s="391" t="str">
        <f>'New Hire'!K11</f>
        <v>;P</v>
      </c>
      <c r="K12" s="391" t="str">
        <f>'New Hire'!L11</f>
        <v>;A</v>
      </c>
      <c r="L12" s="391" t="str">
        <f>'New Hire'!M11</f>
        <v>;I</v>
      </c>
      <c r="M12" s="391" t="str">
        <f>'New Hire'!N11</f>
        <v>;P</v>
      </c>
      <c r="N12" s="391" t="str">
        <f>'New Hire'!O11</f>
        <v>;I</v>
      </c>
      <c r="O12" s="392" t="str">
        <f>'New Hire'!P11</f>
        <v>;I</v>
      </c>
      <c r="P12" s="15"/>
      <c r="Q12" s="20"/>
      <c r="R12" s="20"/>
      <c r="S12" s="20"/>
      <c r="T12" s="20"/>
      <c r="U12" s="20"/>
      <c r="V12" s="32"/>
      <c r="W12" s="20"/>
      <c r="X12" s="728"/>
      <c r="Y12" s="729"/>
      <c r="Z12" s="729"/>
      <c r="AA12" s="730"/>
      <c r="AB12" s="20"/>
      <c r="AC12" s="15"/>
    </row>
    <row r="13" spans="1:29">
      <c r="A13" s="100" t="s">
        <v>477</v>
      </c>
      <c r="B13" s="394">
        <f>'New Hire'!C26</f>
        <v>100</v>
      </c>
      <c r="C13" s="338">
        <f>'New Hire'!D26</f>
        <v>50</v>
      </c>
      <c r="D13" s="338">
        <f>'New Hire'!E26</f>
        <v>100</v>
      </c>
      <c r="E13" s="338">
        <f>'New Hire'!F26</f>
        <v>100</v>
      </c>
      <c r="F13" s="338">
        <f>'New Hire'!G26</f>
        <v>100</v>
      </c>
      <c r="G13" s="338">
        <f>'New Hire'!H26</f>
        <v>100</v>
      </c>
      <c r="H13" s="338">
        <f>'New Hire'!I26</f>
        <v>50</v>
      </c>
      <c r="I13" s="338">
        <f>'New Hire'!J26</f>
        <v>100</v>
      </c>
      <c r="J13" s="338">
        <f>'New Hire'!K26</f>
        <v>50</v>
      </c>
      <c r="K13" s="338">
        <f>'New Hire'!L26</f>
        <v>100</v>
      </c>
      <c r="L13" s="338">
        <f>'New Hire'!M26</f>
        <v>100</v>
      </c>
      <c r="M13" s="338">
        <f>'New Hire'!N26</f>
        <v>100</v>
      </c>
      <c r="N13" s="338">
        <f>'New Hire'!O26</f>
        <v>100</v>
      </c>
      <c r="O13" s="395">
        <f>'New Hire'!P26</f>
        <v>100</v>
      </c>
      <c r="P13" s="15"/>
      <c r="Q13" s="20"/>
      <c r="R13" s="20"/>
      <c r="S13" s="20"/>
      <c r="T13" s="20"/>
      <c r="U13" s="20"/>
      <c r="V13" s="23"/>
      <c r="W13" s="19"/>
      <c r="X13" s="19"/>
      <c r="Y13" s="19"/>
      <c r="Z13" s="19"/>
      <c r="AA13" s="19"/>
      <c r="AB13" s="19"/>
      <c r="AC13" s="31"/>
    </row>
    <row r="14" spans="1:29">
      <c r="A14" s="424" t="s">
        <v>481</v>
      </c>
      <c r="B14" s="338">
        <f t="shared" ref="B14:O14" si="0">NETWORKDAYS(B10,$A$6)</f>
        <v>23</v>
      </c>
      <c r="C14" s="338">
        <f t="shared" si="0"/>
        <v>23</v>
      </c>
      <c r="D14" s="338">
        <f t="shared" si="0"/>
        <v>23</v>
      </c>
      <c r="E14" s="338">
        <f t="shared" si="0"/>
        <v>23</v>
      </c>
      <c r="F14" s="338">
        <f t="shared" si="0"/>
        <v>23</v>
      </c>
      <c r="G14" s="338">
        <f t="shared" si="0"/>
        <v>23</v>
      </c>
      <c r="H14" s="338">
        <f t="shared" si="0"/>
        <v>23</v>
      </c>
      <c r="I14" s="338">
        <f t="shared" si="0"/>
        <v>23</v>
      </c>
      <c r="J14" s="338">
        <f t="shared" si="0"/>
        <v>23</v>
      </c>
      <c r="K14" s="338">
        <f t="shared" si="0"/>
        <v>23</v>
      </c>
      <c r="L14" s="338">
        <f t="shared" si="0"/>
        <v>23</v>
      </c>
      <c r="M14" s="338">
        <f t="shared" si="0"/>
        <v>23</v>
      </c>
      <c r="N14" s="338">
        <f t="shared" si="0"/>
        <v>23</v>
      </c>
      <c r="O14" s="395">
        <f t="shared" si="0"/>
        <v>23</v>
      </c>
      <c r="P14" s="15"/>
      <c r="Q14" s="20"/>
      <c r="R14" s="20"/>
      <c r="S14" s="20"/>
      <c r="T14" s="20"/>
      <c r="U14" s="20"/>
      <c r="V14" s="23"/>
      <c r="W14" s="19"/>
      <c r="X14" s="19"/>
      <c r="Y14" s="19"/>
      <c r="Z14" s="19"/>
      <c r="AA14" s="19"/>
      <c r="AB14" s="19"/>
      <c r="AC14" s="31"/>
    </row>
    <row r="15" spans="1:29">
      <c r="A15" s="424" t="s">
        <v>843</v>
      </c>
      <c r="B15" s="338">
        <f t="shared" ref="B15:O15" si="1">B14-SUM(B134:B144)</f>
        <v>23</v>
      </c>
      <c r="C15" s="338">
        <f t="shared" si="1"/>
        <v>23</v>
      </c>
      <c r="D15" s="338">
        <f t="shared" si="1"/>
        <v>23</v>
      </c>
      <c r="E15" s="338">
        <f t="shared" si="1"/>
        <v>2</v>
      </c>
      <c r="F15" s="338">
        <f t="shared" si="1"/>
        <v>23</v>
      </c>
      <c r="G15" s="338">
        <f t="shared" si="1"/>
        <v>23</v>
      </c>
      <c r="H15" s="338">
        <f t="shared" si="1"/>
        <v>4</v>
      </c>
      <c r="I15" s="338">
        <f t="shared" si="1"/>
        <v>23</v>
      </c>
      <c r="J15" s="338">
        <f t="shared" si="1"/>
        <v>23</v>
      </c>
      <c r="K15" s="338">
        <f t="shared" si="1"/>
        <v>23</v>
      </c>
      <c r="L15" s="338">
        <f t="shared" si="1"/>
        <v>23</v>
      </c>
      <c r="M15" s="338">
        <f t="shared" si="1"/>
        <v>23</v>
      </c>
      <c r="N15" s="338">
        <f t="shared" si="1"/>
        <v>23</v>
      </c>
      <c r="O15" s="338">
        <f t="shared" si="1"/>
        <v>23</v>
      </c>
      <c r="P15" s="15"/>
      <c r="Q15" s="20"/>
      <c r="R15" s="20"/>
      <c r="S15" s="20"/>
      <c r="T15" s="20"/>
      <c r="U15" s="20"/>
      <c r="V15" s="23"/>
      <c r="W15" s="19"/>
      <c r="X15" s="19"/>
      <c r="Y15" s="19"/>
      <c r="Z15" s="19"/>
      <c r="AA15" s="19"/>
      <c r="AB15" s="19"/>
      <c r="AC15" s="31"/>
    </row>
    <row r="16" spans="1:29">
      <c r="A16" s="424" t="s">
        <v>639</v>
      </c>
      <c r="B16" s="338">
        <f>NETWORKDAYS(EOMONTH($A$6,-1)+1,EOMONTH($A$6,0))</f>
        <v>23</v>
      </c>
      <c r="C16" s="338">
        <f t="shared" ref="C16:O16" si="2">NETWORKDAYS(EOMONTH($A$6,-1)+1,EOMONTH($A$6,0))</f>
        <v>23</v>
      </c>
      <c r="D16" s="338">
        <f t="shared" si="2"/>
        <v>23</v>
      </c>
      <c r="E16" s="338">
        <f t="shared" si="2"/>
        <v>23</v>
      </c>
      <c r="F16" s="338">
        <f t="shared" si="2"/>
        <v>23</v>
      </c>
      <c r="G16" s="338">
        <f t="shared" si="2"/>
        <v>23</v>
      </c>
      <c r="H16" s="338">
        <f t="shared" si="2"/>
        <v>23</v>
      </c>
      <c r="I16" s="338">
        <f t="shared" si="2"/>
        <v>23</v>
      </c>
      <c r="J16" s="338">
        <f t="shared" si="2"/>
        <v>23</v>
      </c>
      <c r="K16" s="338">
        <f t="shared" si="2"/>
        <v>23</v>
      </c>
      <c r="L16" s="338">
        <f t="shared" si="2"/>
        <v>23</v>
      </c>
      <c r="M16" s="338">
        <f t="shared" si="2"/>
        <v>23</v>
      </c>
      <c r="N16" s="338">
        <f t="shared" si="2"/>
        <v>23</v>
      </c>
      <c r="O16" s="395">
        <f t="shared" si="2"/>
        <v>23</v>
      </c>
      <c r="P16" s="15"/>
      <c r="Q16" s="20"/>
      <c r="R16" s="20"/>
      <c r="S16" s="20"/>
      <c r="T16" s="20"/>
      <c r="U16" s="20"/>
      <c r="V16" s="23"/>
      <c r="W16" s="19"/>
      <c r="X16" s="19"/>
      <c r="Y16" s="19"/>
      <c r="Z16" s="19"/>
      <c r="AA16" s="19"/>
      <c r="AB16" s="19"/>
      <c r="AC16" s="31"/>
    </row>
    <row r="17" spans="1:29">
      <c r="A17" s="424" t="s">
        <v>513</v>
      </c>
      <c r="B17" s="335">
        <f t="shared" ref="B17:O17" si="3">_xlfn.DAYS($A$6,B10)+1</f>
        <v>31</v>
      </c>
      <c r="C17" s="335">
        <f t="shared" si="3"/>
        <v>31</v>
      </c>
      <c r="D17" s="335">
        <f t="shared" si="3"/>
        <v>31</v>
      </c>
      <c r="E17" s="335">
        <f t="shared" si="3"/>
        <v>31</v>
      </c>
      <c r="F17" s="335">
        <f t="shared" si="3"/>
        <v>31</v>
      </c>
      <c r="G17" s="335">
        <f t="shared" si="3"/>
        <v>31</v>
      </c>
      <c r="H17" s="335">
        <f t="shared" si="3"/>
        <v>31</v>
      </c>
      <c r="I17" s="335">
        <f t="shared" si="3"/>
        <v>31</v>
      </c>
      <c r="J17" s="335">
        <f t="shared" si="3"/>
        <v>31</v>
      </c>
      <c r="K17" s="335">
        <f t="shared" si="3"/>
        <v>31</v>
      </c>
      <c r="L17" s="335">
        <f t="shared" si="3"/>
        <v>31</v>
      </c>
      <c r="M17" s="335">
        <f t="shared" si="3"/>
        <v>31</v>
      </c>
      <c r="N17" s="335">
        <f t="shared" si="3"/>
        <v>31</v>
      </c>
      <c r="O17" s="397">
        <f t="shared" si="3"/>
        <v>31</v>
      </c>
      <c r="P17" s="15"/>
      <c r="Q17" s="20"/>
      <c r="R17" s="20"/>
      <c r="S17" s="20"/>
      <c r="T17" s="20"/>
      <c r="U17" s="20"/>
      <c r="V17" s="23"/>
      <c r="W17" s="19"/>
      <c r="X17" s="19"/>
      <c r="Y17" s="19"/>
      <c r="Z17" s="19"/>
      <c r="AA17" s="19"/>
      <c r="AB17" s="19"/>
      <c r="AC17" s="31"/>
    </row>
    <row r="18" spans="1:29">
      <c r="A18" s="99" t="s">
        <v>533</v>
      </c>
      <c r="B18" s="336">
        <f>DATEDIF('New Hire'!C41,$A$6,"Y")</f>
        <v>10</v>
      </c>
      <c r="C18" s="337">
        <f>DATEDIF('New Hire'!D41,$A$6,"Y")</f>
        <v>13</v>
      </c>
      <c r="D18" s="337">
        <f>DATEDIF('New Hire'!E41,$A$6,"Y")</f>
        <v>0</v>
      </c>
      <c r="E18" s="337">
        <f>DATEDIF('New Hire'!F41,$A$6,"Y")</f>
        <v>4</v>
      </c>
      <c r="F18" s="337">
        <f>DATEDIF('New Hire'!G41,$A$6,"Y")</f>
        <v>10</v>
      </c>
      <c r="G18" s="337">
        <f>DATEDIF('New Hire'!H41,$A$6,"Y")</f>
        <v>0</v>
      </c>
      <c r="H18" s="337">
        <f>DATEDIF('New Hire'!I41,$A$6,"Y")</f>
        <v>15</v>
      </c>
      <c r="I18" s="337">
        <f>DATEDIF('New Hire'!J41,$A$6,"Y")</f>
        <v>0</v>
      </c>
      <c r="J18" s="337">
        <f>DATEDIF('New Hire'!K41,$A$6,"Y")</f>
        <v>0</v>
      </c>
      <c r="K18" s="337">
        <f>DATEDIF('New Hire'!L41,$A$6,"Y")</f>
        <v>10</v>
      </c>
      <c r="L18" s="337">
        <f>DATEDIF('New Hire'!M41,$A$6,"Y")</f>
        <v>5</v>
      </c>
      <c r="M18" s="337">
        <f>DATEDIF('New Hire'!N41,$A$6,"Y")</f>
        <v>0</v>
      </c>
      <c r="N18" s="337">
        <f>DATEDIF('New Hire'!O41,$A$6,"Y")</f>
        <v>11</v>
      </c>
      <c r="O18" s="393">
        <f>DATEDIF('New Hire'!P41,$A$6,"Y")</f>
        <v>0</v>
      </c>
      <c r="P18" s="15"/>
      <c r="Q18" s="20"/>
      <c r="R18" s="20"/>
      <c r="S18" s="20"/>
      <c r="T18" s="20"/>
      <c r="U18" s="20"/>
      <c r="V18" s="23"/>
      <c r="W18" s="19"/>
      <c r="X18" s="19"/>
      <c r="Y18" s="19"/>
      <c r="Z18" s="19"/>
      <c r="AA18" s="19"/>
      <c r="AB18" s="19"/>
      <c r="AC18" s="31"/>
    </row>
    <row r="19" spans="1:29">
      <c r="A19" s="99" t="s">
        <v>566</v>
      </c>
      <c r="B19" s="336" t="str">
        <f>'New Hire'!C54</f>
        <v>A</v>
      </c>
      <c r="C19" s="337" t="str">
        <f>'New Hire'!D54</f>
        <v>A</v>
      </c>
      <c r="D19" s="337" t="str">
        <f>'New Hire'!E54</f>
        <v>A</v>
      </c>
      <c r="E19" s="337" t="str">
        <f>'New Hire'!F54</f>
        <v>B</v>
      </c>
      <c r="F19" s="337" t="str">
        <f>'New Hire'!G54</f>
        <v>B</v>
      </c>
      <c r="G19" s="337" t="str">
        <f>'New Hire'!H54</f>
        <v>C</v>
      </c>
      <c r="H19" s="337" t="str">
        <f>'New Hire'!I54</f>
        <v>D</v>
      </c>
      <c r="I19" s="337" t="str">
        <f>'New Hire'!J54</f>
        <v>D</v>
      </c>
      <c r="J19" s="337" t="str">
        <f>'New Hire'!K54</f>
        <v>A</v>
      </c>
      <c r="K19" s="337" t="str">
        <f>'New Hire'!L54</f>
        <v>A</v>
      </c>
      <c r="L19" s="337" t="str">
        <f>'New Hire'!M54</f>
        <v>A</v>
      </c>
      <c r="M19" s="337" t="str">
        <f>'New Hire'!N54</f>
        <v>A</v>
      </c>
      <c r="N19" s="337" t="str">
        <f>'New Hire'!O54</f>
        <v>A</v>
      </c>
      <c r="O19" s="393" t="str">
        <f>'New Hire'!P54</f>
        <v>B</v>
      </c>
      <c r="P19" s="15"/>
      <c r="Q19" s="20"/>
      <c r="R19" s="20"/>
      <c r="S19" s="20"/>
      <c r="T19" s="20"/>
      <c r="U19" s="20"/>
      <c r="V19" s="23"/>
      <c r="W19" s="19"/>
      <c r="X19" s="19"/>
      <c r="Y19" s="19"/>
      <c r="Z19" s="19"/>
      <c r="AA19" s="19"/>
      <c r="AB19" s="19"/>
      <c r="AC19" s="31"/>
    </row>
    <row r="20" spans="1:29">
      <c r="A20" s="98" t="s">
        <v>107</v>
      </c>
      <c r="B20" s="91">
        <v>1</v>
      </c>
      <c r="C20" s="89">
        <v>2</v>
      </c>
      <c r="D20" s="89">
        <v>0</v>
      </c>
      <c r="E20" s="89">
        <v>3</v>
      </c>
      <c r="F20" s="89">
        <v>0</v>
      </c>
      <c r="G20" s="89">
        <v>0</v>
      </c>
      <c r="H20" s="89">
        <v>2</v>
      </c>
      <c r="I20" s="89">
        <v>0</v>
      </c>
      <c r="J20" s="89">
        <v>0</v>
      </c>
      <c r="K20" s="89">
        <v>0</v>
      </c>
      <c r="L20" s="89">
        <v>0</v>
      </c>
      <c r="M20" s="89">
        <v>0</v>
      </c>
      <c r="N20" s="89">
        <v>0</v>
      </c>
      <c r="O20" s="398">
        <v>0</v>
      </c>
      <c r="P20" s="15"/>
      <c r="Q20" s="20"/>
      <c r="R20" s="20"/>
      <c r="S20" s="20"/>
      <c r="T20" s="20"/>
      <c r="U20" s="20"/>
      <c r="V20" s="23"/>
      <c r="W20" s="19"/>
      <c r="X20" s="19"/>
      <c r="Y20" s="19"/>
      <c r="Z20" s="19"/>
      <c r="AA20" s="19"/>
      <c r="AB20" s="19"/>
      <c r="AC20" s="31"/>
    </row>
    <row r="21" spans="1:29">
      <c r="A21" s="97" t="s">
        <v>113</v>
      </c>
      <c r="B21" s="325">
        <f>3600000*B20</f>
        <v>3600000</v>
      </c>
      <c r="C21" s="90">
        <f t="shared" ref="C21:O21" si="4">3600000*C20</f>
        <v>7200000</v>
      </c>
      <c r="D21" s="90">
        <f t="shared" si="4"/>
        <v>0</v>
      </c>
      <c r="E21" s="90">
        <f t="shared" si="4"/>
        <v>10800000</v>
      </c>
      <c r="F21" s="90">
        <f t="shared" si="4"/>
        <v>0</v>
      </c>
      <c r="G21" s="90">
        <f t="shared" si="4"/>
        <v>0</v>
      </c>
      <c r="H21" s="90">
        <f t="shared" si="4"/>
        <v>7200000</v>
      </c>
      <c r="I21" s="90">
        <f t="shared" si="4"/>
        <v>0</v>
      </c>
      <c r="J21" s="90">
        <f t="shared" si="4"/>
        <v>0</v>
      </c>
      <c r="K21" s="90">
        <f t="shared" si="4"/>
        <v>0</v>
      </c>
      <c r="L21" s="90">
        <f t="shared" si="4"/>
        <v>0</v>
      </c>
      <c r="M21" s="90">
        <f t="shared" si="4"/>
        <v>0</v>
      </c>
      <c r="N21" s="90">
        <f t="shared" si="4"/>
        <v>0</v>
      </c>
      <c r="O21" s="399">
        <f t="shared" si="4"/>
        <v>0</v>
      </c>
      <c r="P21" s="15"/>
      <c r="Q21" s="20"/>
      <c r="R21" s="20"/>
      <c r="S21" s="20"/>
      <c r="T21" s="20"/>
      <c r="U21" s="20"/>
      <c r="V21" s="23"/>
      <c r="W21" s="19"/>
      <c r="X21" s="19"/>
      <c r="Y21" s="19"/>
      <c r="Z21" s="19"/>
      <c r="AA21" s="19"/>
      <c r="AB21" s="19"/>
      <c r="AC21" s="31"/>
    </row>
    <row r="22" spans="1:29" ht="15.6">
      <c r="A22" s="97" t="s">
        <v>114</v>
      </c>
      <c r="B22" s="326">
        <v>9000000</v>
      </c>
      <c r="C22" s="90">
        <v>9000000</v>
      </c>
      <c r="D22" s="90">
        <v>9000000</v>
      </c>
      <c r="E22" s="90">
        <v>9000000</v>
      </c>
      <c r="F22" s="90">
        <v>9000000</v>
      </c>
      <c r="G22" s="90">
        <v>9000000</v>
      </c>
      <c r="H22" s="90">
        <v>9000000</v>
      </c>
      <c r="I22" s="90">
        <v>9000000</v>
      </c>
      <c r="J22" s="90">
        <v>9000000</v>
      </c>
      <c r="K22" s="90">
        <v>9000000</v>
      </c>
      <c r="L22" s="90">
        <v>9000000</v>
      </c>
      <c r="M22" s="90">
        <v>9000000</v>
      </c>
      <c r="N22" s="90">
        <v>9000000</v>
      </c>
      <c r="O22" s="399">
        <v>9000000</v>
      </c>
      <c r="P22" s="15"/>
      <c r="Q22" s="66"/>
      <c r="R22" s="66"/>
      <c r="S22" s="66"/>
      <c r="T22" s="66"/>
      <c r="U22" s="66"/>
      <c r="V22" s="40"/>
      <c r="W22" s="41"/>
      <c r="X22" s="19"/>
      <c r="Y22" s="19"/>
      <c r="Z22" s="19"/>
      <c r="AA22" s="19"/>
      <c r="AB22" s="16"/>
      <c r="AC22" s="17"/>
    </row>
    <row r="23" spans="1:29" ht="15.6">
      <c r="A23" s="413" t="s">
        <v>53</v>
      </c>
      <c r="B23" s="64"/>
      <c r="C23" s="65"/>
      <c r="D23" s="65"/>
      <c r="E23" s="66"/>
      <c r="F23" s="65"/>
      <c r="G23" s="65"/>
      <c r="H23" s="21"/>
      <c r="I23" s="65"/>
      <c r="J23" s="65"/>
      <c r="K23" s="66"/>
      <c r="L23" s="66"/>
      <c r="M23" s="66"/>
      <c r="N23" s="66"/>
      <c r="O23" s="66"/>
      <c r="P23" s="343"/>
      <c r="Q23" s="66"/>
      <c r="R23" s="66"/>
      <c r="S23" s="66"/>
      <c r="T23" s="66"/>
      <c r="U23" s="66"/>
      <c r="V23" s="50"/>
      <c r="W23" s="44"/>
      <c r="X23" s="44"/>
      <c r="Y23" s="44"/>
      <c r="Z23" s="44"/>
      <c r="AA23" s="44"/>
      <c r="AB23" s="44"/>
      <c r="AC23" s="51"/>
    </row>
    <row r="24" spans="1:29">
      <c r="A24" s="414" t="s">
        <v>55</v>
      </c>
      <c r="B24" s="64"/>
      <c r="C24" s="65"/>
      <c r="D24" s="65"/>
      <c r="E24" s="66"/>
      <c r="F24" s="65"/>
      <c r="G24" s="65"/>
      <c r="H24" s="21"/>
      <c r="I24" s="65"/>
      <c r="J24" s="65"/>
      <c r="K24" s="66"/>
      <c r="L24" s="66"/>
      <c r="M24" s="66"/>
      <c r="N24" s="66"/>
      <c r="O24" s="382"/>
      <c r="P24" s="382"/>
      <c r="Q24" s="66"/>
      <c r="R24" s="66"/>
      <c r="S24" s="66"/>
      <c r="T24" s="66"/>
      <c r="U24" s="66"/>
      <c r="V24" s="118" t="s">
        <v>57</v>
      </c>
      <c r="W24" s="119" t="s">
        <v>67</v>
      </c>
      <c r="X24" s="119" t="s">
        <v>69</v>
      </c>
      <c r="Y24" s="119" t="s">
        <v>70</v>
      </c>
      <c r="Z24" s="119" t="s">
        <v>56</v>
      </c>
      <c r="AA24" s="119" t="s">
        <v>54</v>
      </c>
      <c r="AB24" s="119" t="s">
        <v>58</v>
      </c>
      <c r="AC24" s="120" t="s">
        <v>59</v>
      </c>
    </row>
    <row r="25" spans="1:29">
      <c r="A25" s="445" t="s">
        <v>479</v>
      </c>
      <c r="B25" s="332">
        <f t="shared" ref="B25:O25" si="5">IF(OR(B19="A",B19="B"),IF(B11&lt;&gt;"C",ROUND(B163*B112,0),0),IF(B11&lt;&gt;"C",ROUND(B176*$B$4,0),0))</f>
        <v>7000000</v>
      </c>
      <c r="C25" s="332">
        <f t="shared" si="5"/>
        <v>6200000</v>
      </c>
      <c r="D25" s="332">
        <f t="shared" si="5"/>
        <v>11000000</v>
      </c>
      <c r="E25" s="332">
        <f t="shared" si="5"/>
        <v>11000000</v>
      </c>
      <c r="F25" s="332">
        <f t="shared" si="5"/>
        <v>16000000</v>
      </c>
      <c r="G25" s="332">
        <f t="shared" si="5"/>
        <v>0</v>
      </c>
      <c r="H25" s="332">
        <f t="shared" si="5"/>
        <v>120666000</v>
      </c>
      <c r="I25" s="332">
        <f t="shared" si="5"/>
        <v>90499500</v>
      </c>
      <c r="J25" s="332">
        <f t="shared" si="5"/>
        <v>55000000</v>
      </c>
      <c r="K25" s="332">
        <f t="shared" si="5"/>
        <v>10000000</v>
      </c>
      <c r="L25" s="332">
        <f t="shared" si="5"/>
        <v>11500000</v>
      </c>
      <c r="M25" s="332">
        <f t="shared" si="5"/>
        <v>7000000</v>
      </c>
      <c r="N25" s="332">
        <f t="shared" si="5"/>
        <v>8000000</v>
      </c>
      <c r="O25" s="332">
        <f t="shared" si="5"/>
        <v>0</v>
      </c>
      <c r="P25" s="355">
        <f t="shared" ref="P25:P28" si="6">SUM(B25:O25)</f>
        <v>353865500</v>
      </c>
      <c r="Q25" s="90" t="s">
        <v>525</v>
      </c>
      <c r="R25" s="90" t="s">
        <v>525</v>
      </c>
      <c r="S25" s="90" t="s">
        <v>525</v>
      </c>
      <c r="T25" s="90" t="s">
        <v>525</v>
      </c>
      <c r="U25" s="90" t="s">
        <v>525</v>
      </c>
      <c r="V25" s="356" t="s">
        <v>2</v>
      </c>
      <c r="W25" s="357">
        <v>91999901</v>
      </c>
      <c r="X25" s="358" t="s">
        <v>507</v>
      </c>
      <c r="Y25" s="358" t="s">
        <v>508</v>
      </c>
      <c r="Z25" s="359" t="s">
        <v>509</v>
      </c>
      <c r="AA25" s="360">
        <v>8000000</v>
      </c>
      <c r="AB25" s="358"/>
      <c r="AC25" s="361"/>
    </row>
    <row r="26" spans="1:29">
      <c r="A26" s="451" t="s">
        <v>496</v>
      </c>
      <c r="B26" s="332">
        <f t="shared" ref="B26:O26" si="7">IF(OR(B19="A",B19="B"),ROUND(B165*B112,0),ROUND(B165*B112*$B$4,0))</f>
        <v>700000</v>
      </c>
      <c r="C26" s="332">
        <f t="shared" si="7"/>
        <v>620000</v>
      </c>
      <c r="D26" s="332">
        <f t="shared" si="7"/>
        <v>1100000</v>
      </c>
      <c r="E26" s="332">
        <f t="shared" si="7"/>
        <v>0</v>
      </c>
      <c r="F26" s="332">
        <f t="shared" si="7"/>
        <v>0</v>
      </c>
      <c r="G26" s="332">
        <f t="shared" si="7"/>
        <v>0</v>
      </c>
      <c r="H26" s="332">
        <f t="shared" si="7"/>
        <v>12762750</v>
      </c>
      <c r="I26" s="332">
        <f t="shared" si="7"/>
        <v>0</v>
      </c>
      <c r="J26" s="332">
        <f t="shared" si="7"/>
        <v>5500000</v>
      </c>
      <c r="K26" s="332">
        <f t="shared" si="7"/>
        <v>1000000</v>
      </c>
      <c r="L26" s="332">
        <f t="shared" si="7"/>
        <v>0</v>
      </c>
      <c r="M26" s="332">
        <f t="shared" si="7"/>
        <v>1400000</v>
      </c>
      <c r="N26" s="332">
        <f t="shared" si="7"/>
        <v>1200000</v>
      </c>
      <c r="O26" s="400">
        <f t="shared" si="7"/>
        <v>0</v>
      </c>
      <c r="P26" s="355">
        <f t="shared" si="6"/>
        <v>24282750</v>
      </c>
      <c r="Q26" s="379" t="s">
        <v>525</v>
      </c>
      <c r="R26" s="379" t="s">
        <v>525</v>
      </c>
      <c r="S26" s="379" t="s">
        <v>525</v>
      </c>
      <c r="T26" s="379" t="s">
        <v>525</v>
      </c>
      <c r="U26" s="90" t="s">
        <v>525</v>
      </c>
      <c r="V26" s="356" t="s">
        <v>2</v>
      </c>
      <c r="W26" s="357">
        <v>91999902</v>
      </c>
      <c r="X26" s="358" t="s">
        <v>507</v>
      </c>
      <c r="Y26" s="358" t="s">
        <v>508</v>
      </c>
      <c r="Z26" s="359" t="s">
        <v>509</v>
      </c>
      <c r="AA26" s="360">
        <v>8000000</v>
      </c>
      <c r="AB26" s="358"/>
      <c r="AC26" s="361"/>
    </row>
    <row r="27" spans="1:29">
      <c r="A27" s="451" t="s">
        <v>569</v>
      </c>
      <c r="B27" s="332">
        <f t="shared" ref="B27:O27" si="8">IF(OR(B19="A",B19="B"),ROUND(B166*B112,0),ROUND(B166*B112*$B$4,0))</f>
        <v>1400000</v>
      </c>
      <c r="C27" s="332">
        <f t="shared" si="8"/>
        <v>1240000</v>
      </c>
      <c r="D27" s="332">
        <f t="shared" si="8"/>
        <v>2350000</v>
      </c>
      <c r="E27" s="332">
        <f t="shared" si="8"/>
        <v>0</v>
      </c>
      <c r="F27" s="332">
        <f t="shared" si="8"/>
        <v>0</v>
      </c>
      <c r="G27" s="332">
        <f t="shared" si="8"/>
        <v>0</v>
      </c>
      <c r="H27" s="332">
        <f t="shared" si="8"/>
        <v>25525500</v>
      </c>
      <c r="I27" s="332">
        <f t="shared" si="8"/>
        <v>0</v>
      </c>
      <c r="J27" s="332">
        <f t="shared" si="8"/>
        <v>11000000</v>
      </c>
      <c r="K27" s="332">
        <f t="shared" si="8"/>
        <v>2000000</v>
      </c>
      <c r="L27" s="332">
        <f t="shared" si="8"/>
        <v>0</v>
      </c>
      <c r="M27" s="332">
        <f t="shared" si="8"/>
        <v>2100000</v>
      </c>
      <c r="N27" s="332">
        <f t="shared" si="8"/>
        <v>1650000</v>
      </c>
      <c r="O27" s="400">
        <f t="shared" si="8"/>
        <v>0</v>
      </c>
      <c r="P27" s="355">
        <f t="shared" si="6"/>
        <v>47265500</v>
      </c>
      <c r="Q27" s="379" t="s">
        <v>525</v>
      </c>
      <c r="R27" s="379" t="s">
        <v>525</v>
      </c>
      <c r="S27" s="379" t="s">
        <v>525</v>
      </c>
      <c r="T27" s="379" t="s">
        <v>525</v>
      </c>
      <c r="U27" s="90" t="s">
        <v>525</v>
      </c>
      <c r="V27" s="356" t="s">
        <v>2</v>
      </c>
      <c r="W27" s="357">
        <v>91999904</v>
      </c>
      <c r="X27" s="358" t="s">
        <v>511</v>
      </c>
      <c r="Y27" s="358" t="s">
        <v>508</v>
      </c>
      <c r="Z27" s="359" t="s">
        <v>509</v>
      </c>
      <c r="AA27" s="360">
        <v>8000000</v>
      </c>
      <c r="AB27" s="358"/>
      <c r="AC27" s="361"/>
    </row>
    <row r="28" spans="1:29">
      <c r="A28" s="445" t="s">
        <v>427</v>
      </c>
      <c r="B28" s="332"/>
      <c r="C28" s="332"/>
      <c r="D28" s="332"/>
      <c r="E28" s="340"/>
      <c r="F28" s="332"/>
      <c r="G28" s="332">
        <f>ROUND(G164*B4,0)*AC61+ROUND(G164*B4,0)*AC62</f>
        <v>29006250</v>
      </c>
      <c r="H28" s="332"/>
      <c r="I28" s="332"/>
      <c r="J28" s="332"/>
      <c r="K28" s="340"/>
      <c r="L28" s="340"/>
      <c r="M28" s="340"/>
      <c r="N28" s="340"/>
      <c r="O28" s="401">
        <f>ROUND(O164*AC64,0)+ROUND(O164*AC65,0)</f>
        <v>4500000</v>
      </c>
      <c r="P28" s="355">
        <f t="shared" si="6"/>
        <v>33506250</v>
      </c>
      <c r="Q28" s="379" t="s">
        <v>525</v>
      </c>
      <c r="R28" s="379" t="s">
        <v>525</v>
      </c>
      <c r="S28" s="379"/>
      <c r="T28" s="379"/>
      <c r="U28" s="379"/>
      <c r="V28" s="356" t="s">
        <v>2</v>
      </c>
      <c r="W28" s="357">
        <v>91999905</v>
      </c>
      <c r="X28" s="358" t="s">
        <v>507</v>
      </c>
      <c r="Y28" s="358" t="s">
        <v>508</v>
      </c>
      <c r="Z28" s="359" t="s">
        <v>509</v>
      </c>
      <c r="AA28" s="360">
        <v>8000000</v>
      </c>
      <c r="AB28" s="358"/>
      <c r="AC28" s="361"/>
    </row>
    <row r="29" spans="1:29">
      <c r="A29" s="506" t="s">
        <v>710</v>
      </c>
      <c r="B29" s="510"/>
      <c r="C29" s="438"/>
      <c r="D29" s="438"/>
      <c r="E29" s="438"/>
      <c r="F29" s="438"/>
      <c r="G29" s="438"/>
      <c r="H29" s="438"/>
      <c r="I29" s="438"/>
      <c r="J29" s="438"/>
      <c r="K29" s="438"/>
      <c r="L29" s="438"/>
      <c r="M29" s="438">
        <f>M83+M84</f>
        <v>2423100</v>
      </c>
      <c r="N29" s="438"/>
      <c r="O29" s="511"/>
      <c r="P29" s="464">
        <f t="shared" ref="P29:P40" si="9">SUM(B29:O29)</f>
        <v>2423100</v>
      </c>
      <c r="Q29" s="446" t="s">
        <v>525</v>
      </c>
      <c r="R29" s="446" t="s">
        <v>525</v>
      </c>
      <c r="S29" s="435"/>
      <c r="T29" s="435"/>
      <c r="U29" s="435"/>
      <c r="V29" s="356" t="s">
        <v>2</v>
      </c>
      <c r="W29" s="357">
        <v>91999906</v>
      </c>
      <c r="X29" s="358" t="s">
        <v>507</v>
      </c>
      <c r="Y29" s="358" t="s">
        <v>508</v>
      </c>
      <c r="Z29" s="359" t="s">
        <v>509</v>
      </c>
      <c r="AA29" s="360">
        <v>8000000</v>
      </c>
      <c r="AB29" s="358"/>
      <c r="AC29" s="361"/>
    </row>
    <row r="30" spans="1:29">
      <c r="A30" s="538" t="s">
        <v>822</v>
      </c>
      <c r="B30" s="502">
        <f>ROUND('UAT9-Sep'!B112*SUM(B134:B144),0)*-1</f>
        <v>0</v>
      </c>
      <c r="C30" s="502">
        <f>ROUND('UAT9-Sep'!C112*SUM(C134:C144),0)*-1</f>
        <v>0</v>
      </c>
      <c r="D30" s="502">
        <f>ROUND('UAT9-Sep'!D112*SUM(D134:D144),0)*-1</f>
        <v>0</v>
      </c>
      <c r="E30" s="502">
        <f>ROUND('UAT9-Sep'!E112*SUM(E134:E144),0)*-1</f>
        <v>-11000010</v>
      </c>
      <c r="F30" s="502">
        <f>ROUND('UAT9-Sep'!F112*SUM(F134:F144),0)*-1</f>
        <v>0</v>
      </c>
      <c r="G30" s="502">
        <f>ROUND('UAT9-Sep'!G112*SUM(G134:G144),0)*-1</f>
        <v>0</v>
      </c>
      <c r="H30" s="502">
        <f>ROUND('UAT9-Sep'!H112*SUM(H134:H144),0)*-1</f>
        <v>-115472500</v>
      </c>
      <c r="I30" s="502">
        <f>ROUND('UAT9-Sep'!I112*SUM(I134:I144),0)*-1</f>
        <v>0</v>
      </c>
      <c r="J30" s="502">
        <f>ROUND('UAT9-Sep'!J112*SUM(J134:J144),0)*-1</f>
        <v>0</v>
      </c>
      <c r="K30" s="502">
        <f>ROUND('UAT9-Sep'!K112*SUM(K134:K144),0)*-1</f>
        <v>0</v>
      </c>
      <c r="L30" s="502">
        <f>ROUND('UAT9-Sep'!L112*SUM(L134:L144),0)*-1</f>
        <v>0</v>
      </c>
      <c r="M30" s="502">
        <f>ROUND('UAT9-Sep'!M112*SUM(M134:M144),0)*-1</f>
        <v>0</v>
      </c>
      <c r="N30" s="502">
        <f>ROUND('UAT9-Sep'!N112*SUM(N134:N144),0)*-1</f>
        <v>0</v>
      </c>
      <c r="O30" s="503">
        <f>ROUND('UAT9-Sep'!O112*SUM(O134:O144),0)*-1</f>
        <v>0</v>
      </c>
      <c r="P30" s="464">
        <f t="shared" si="9"/>
        <v>-126472510</v>
      </c>
      <c r="Q30" s="446" t="s">
        <v>525</v>
      </c>
      <c r="R30" s="446" t="s">
        <v>525</v>
      </c>
      <c r="S30" s="446"/>
      <c r="T30" s="446"/>
      <c r="U30" s="446"/>
      <c r="V30" s="356" t="s">
        <v>2</v>
      </c>
      <c r="W30" s="357">
        <v>91999901</v>
      </c>
      <c r="X30" s="358" t="s">
        <v>507</v>
      </c>
      <c r="Y30" s="358" t="s">
        <v>508</v>
      </c>
      <c r="Z30" s="359" t="s">
        <v>537</v>
      </c>
      <c r="AA30" s="360">
        <v>7000000</v>
      </c>
      <c r="AB30" s="358"/>
      <c r="AC30" s="361"/>
    </row>
    <row r="31" spans="1:29">
      <c r="A31" s="538" t="s">
        <v>823</v>
      </c>
      <c r="B31" s="502">
        <f>ROUND('UAT9-Sep'!B113*SUM(B134:B144),0)*-1</f>
        <v>0</v>
      </c>
      <c r="C31" s="502">
        <f>ROUND('UAT9-Sep'!C113*SUM(C134:C144),0)*-1</f>
        <v>0</v>
      </c>
      <c r="D31" s="502">
        <f>ROUND('UAT9-Sep'!D113*SUM(D134:D144),0)*-1</f>
        <v>0</v>
      </c>
      <c r="E31" s="502">
        <f>ROUND('UAT9-Sep'!E113*SUM(E134:E144),0)*-1</f>
        <v>-10230003</v>
      </c>
      <c r="F31" s="502">
        <f>ROUND('UAT9-Sep'!F113*SUM(F134:F144),0)*-1</f>
        <v>0</v>
      </c>
      <c r="G31" s="502">
        <f>ROUND('UAT9-Sep'!G113*SUM(G134:G144),0)*-1</f>
        <v>0</v>
      </c>
      <c r="H31" s="502">
        <f>ROUND('UAT9-Sep'!H113*SUM(H134:H144),0)*-1</f>
        <v>-39365625</v>
      </c>
      <c r="I31" s="502">
        <f>ROUND('UAT9-Sep'!I113*SUM(I134:I144),0)*-1</f>
        <v>0</v>
      </c>
      <c r="J31" s="502">
        <f>ROUND('UAT9-Sep'!J113*SUM(J134:J144),0)*-1</f>
        <v>0</v>
      </c>
      <c r="K31" s="502">
        <f>ROUND('UAT9-Sep'!K113*SUM(K134:K144),0)*-1</f>
        <v>0</v>
      </c>
      <c r="L31" s="502">
        <f>ROUND('UAT9-Sep'!L113*SUM(L134:L144),0)*-1</f>
        <v>0</v>
      </c>
      <c r="M31" s="502">
        <f>ROUND('UAT9-Sep'!M113*SUM(M134:M144),0)*-1</f>
        <v>0</v>
      </c>
      <c r="N31" s="502">
        <f>ROUND('UAT9-Sep'!N113*SUM(N134:N144),0)*-1</f>
        <v>0</v>
      </c>
      <c r="O31" s="503">
        <f>ROUND('UAT9-Sep'!O113*SUM(O134:O144),0)*-1</f>
        <v>0</v>
      </c>
      <c r="P31" s="464">
        <f t="shared" si="9"/>
        <v>-49595628</v>
      </c>
      <c r="Q31" s="446" t="s">
        <v>525</v>
      </c>
      <c r="R31" s="446" t="s">
        <v>525</v>
      </c>
      <c r="S31" s="446"/>
      <c r="T31" s="446"/>
      <c r="U31" s="446"/>
      <c r="V31" s="356" t="s">
        <v>2</v>
      </c>
      <c r="W31" s="357">
        <v>91999902</v>
      </c>
      <c r="X31" s="358" t="s">
        <v>507</v>
      </c>
      <c r="Y31" s="358" t="s">
        <v>508</v>
      </c>
      <c r="Z31" s="359" t="s">
        <v>537</v>
      </c>
      <c r="AA31" s="360">
        <v>7000000</v>
      </c>
      <c r="AB31" s="358"/>
      <c r="AC31" s="361"/>
    </row>
    <row r="32" spans="1:29">
      <c r="A32" s="423" t="s">
        <v>861</v>
      </c>
      <c r="B32" s="536"/>
      <c r="C32" s="536"/>
      <c r="D32" s="536"/>
      <c r="E32" s="536">
        <f>E146-E36-E37</f>
        <v>-2654987</v>
      </c>
      <c r="F32" s="536"/>
      <c r="G32" s="536"/>
      <c r="H32" s="536">
        <f>H146-H36-H37</f>
        <v>189825513</v>
      </c>
      <c r="I32" s="536"/>
      <c r="J32" s="536"/>
      <c r="K32" s="536"/>
      <c r="L32" s="536"/>
      <c r="M32" s="536"/>
      <c r="N32" s="536"/>
      <c r="O32" s="568"/>
      <c r="P32" s="542">
        <f t="shared" si="9"/>
        <v>187170526</v>
      </c>
      <c r="Q32" s="379" t="s">
        <v>525</v>
      </c>
      <c r="R32" s="379" t="s">
        <v>525</v>
      </c>
      <c r="S32" s="543"/>
      <c r="T32" s="543"/>
      <c r="U32" s="543"/>
      <c r="V32" s="356" t="s">
        <v>2</v>
      </c>
      <c r="W32" s="357">
        <v>91999904</v>
      </c>
      <c r="X32" s="358" t="s">
        <v>511</v>
      </c>
      <c r="Y32" s="358" t="s">
        <v>508</v>
      </c>
      <c r="Z32" s="359" t="s">
        <v>537</v>
      </c>
      <c r="AA32" s="360">
        <v>7000000</v>
      </c>
      <c r="AB32" s="358"/>
      <c r="AC32" s="361"/>
    </row>
    <row r="33" spans="1:31">
      <c r="A33" s="423" t="s">
        <v>862</v>
      </c>
      <c r="B33" s="536"/>
      <c r="C33" s="536"/>
      <c r="D33" s="536"/>
      <c r="E33" s="536"/>
      <c r="F33" s="536"/>
      <c r="G33" s="536"/>
      <c r="H33" s="536"/>
      <c r="I33" s="536"/>
      <c r="J33" s="536"/>
      <c r="K33" s="536">
        <f>K147-K38</f>
        <v>-1664546</v>
      </c>
      <c r="L33" s="536"/>
      <c r="M33" s="536"/>
      <c r="N33" s="536"/>
      <c r="O33" s="568"/>
      <c r="P33" s="542">
        <f t="shared" si="9"/>
        <v>-1664546</v>
      </c>
      <c r="Q33" s="379" t="s">
        <v>525</v>
      </c>
      <c r="R33" s="379" t="s">
        <v>525</v>
      </c>
      <c r="S33" s="543"/>
      <c r="T33" s="543"/>
      <c r="U33" s="543"/>
      <c r="V33" s="356" t="s">
        <v>2</v>
      </c>
      <c r="W33" s="357">
        <v>91999905</v>
      </c>
      <c r="X33" s="358" t="s">
        <v>507</v>
      </c>
      <c r="Y33" s="358" t="s">
        <v>508</v>
      </c>
      <c r="Z33" s="359" t="s">
        <v>537</v>
      </c>
      <c r="AA33" s="360">
        <v>7000000</v>
      </c>
      <c r="AB33" s="358"/>
      <c r="AC33" s="361"/>
    </row>
    <row r="34" spans="1:31">
      <c r="A34" s="423"/>
      <c r="B34" s="536"/>
      <c r="C34" s="536"/>
      <c r="D34" s="536"/>
      <c r="E34" s="536"/>
      <c r="F34" s="536"/>
      <c r="G34" s="536"/>
      <c r="H34" s="536"/>
      <c r="I34" s="536"/>
      <c r="J34" s="536"/>
      <c r="K34" s="536"/>
      <c r="L34" s="536"/>
      <c r="M34" s="536"/>
      <c r="N34" s="536"/>
      <c r="O34" s="568"/>
      <c r="P34" s="542"/>
      <c r="Q34" s="543"/>
      <c r="R34" s="543"/>
      <c r="S34" s="543"/>
      <c r="T34" s="543"/>
      <c r="U34" s="543"/>
      <c r="V34" s="356" t="s">
        <v>2</v>
      </c>
      <c r="W34" s="357">
        <v>91999906</v>
      </c>
      <c r="X34" s="358" t="s">
        <v>507</v>
      </c>
      <c r="Y34" s="358" t="s">
        <v>508</v>
      </c>
      <c r="Z34" s="359" t="s">
        <v>537</v>
      </c>
      <c r="AA34" s="360">
        <v>7000000</v>
      </c>
      <c r="AB34" s="358"/>
      <c r="AC34" s="361"/>
    </row>
    <row r="35" spans="1:31">
      <c r="A35" s="528" t="s">
        <v>859</v>
      </c>
      <c r="B35" s="536"/>
      <c r="C35" s="536"/>
      <c r="D35" s="536"/>
      <c r="E35" s="536"/>
      <c r="F35" s="536"/>
      <c r="G35" s="536"/>
      <c r="H35" s="536"/>
      <c r="I35" s="536"/>
      <c r="J35" s="536"/>
      <c r="K35" s="536"/>
      <c r="L35" s="536"/>
      <c r="M35" s="536"/>
      <c r="N35" s="536"/>
      <c r="O35" s="568"/>
      <c r="P35" s="542"/>
      <c r="Q35" s="543"/>
      <c r="R35" s="543"/>
      <c r="S35" s="543"/>
      <c r="T35" s="543"/>
      <c r="U35" s="543"/>
      <c r="V35" s="356" t="s">
        <v>2</v>
      </c>
      <c r="W35" s="357">
        <v>91999907</v>
      </c>
      <c r="X35" s="358" t="s">
        <v>603</v>
      </c>
      <c r="Y35" s="358" t="s">
        <v>508</v>
      </c>
      <c r="Z35" s="359">
        <v>7065</v>
      </c>
      <c r="AA35" s="360">
        <v>100</v>
      </c>
      <c r="AB35" s="447" t="s">
        <v>542</v>
      </c>
      <c r="AC35" s="448"/>
    </row>
    <row r="36" spans="1:31">
      <c r="A36" s="423" t="s">
        <v>856</v>
      </c>
      <c r="B36" s="536"/>
      <c r="C36" s="536"/>
      <c r="D36" s="536"/>
      <c r="E36" s="536">
        <f>AA49</f>
        <v>30000000</v>
      </c>
      <c r="F36" s="536"/>
      <c r="G36" s="536"/>
      <c r="H36" s="536">
        <f>AA50</f>
        <v>50000000</v>
      </c>
      <c r="I36" s="536"/>
      <c r="J36" s="536"/>
      <c r="K36" s="536"/>
      <c r="L36" s="536"/>
      <c r="M36" s="536"/>
      <c r="N36" s="536"/>
      <c r="O36" s="568"/>
      <c r="P36" s="542">
        <f t="shared" si="9"/>
        <v>80000000</v>
      </c>
      <c r="Q36" s="379" t="s">
        <v>525</v>
      </c>
      <c r="R36" s="543"/>
      <c r="S36" s="543"/>
      <c r="T36" s="543"/>
      <c r="U36" s="543"/>
      <c r="V36" s="356" t="s">
        <v>2</v>
      </c>
      <c r="W36" s="357">
        <v>91999908</v>
      </c>
      <c r="X36" s="358" t="s">
        <v>507</v>
      </c>
      <c r="Y36" s="358" t="s">
        <v>508</v>
      </c>
      <c r="Z36" s="359">
        <v>7065</v>
      </c>
      <c r="AA36" s="360">
        <v>100</v>
      </c>
      <c r="AB36" s="447" t="s">
        <v>542</v>
      </c>
      <c r="AC36" s="448"/>
    </row>
    <row r="37" spans="1:31">
      <c r="A37" s="423" t="s">
        <v>857</v>
      </c>
      <c r="B37" s="536"/>
      <c r="C37" s="536"/>
      <c r="D37" s="536"/>
      <c r="E37" s="536">
        <f t="shared" ref="E37:H37" si="10">IF(E36&lt;&gt;0,2*4180000,0)</f>
        <v>8360000</v>
      </c>
      <c r="F37" s="536"/>
      <c r="G37" s="536"/>
      <c r="H37" s="536">
        <f t="shared" si="10"/>
        <v>8360000</v>
      </c>
      <c r="I37" s="536"/>
      <c r="J37" s="536"/>
      <c r="K37" s="536"/>
      <c r="L37" s="536"/>
      <c r="M37" s="536"/>
      <c r="N37" s="536"/>
      <c r="O37" s="568"/>
      <c r="P37" s="542">
        <f t="shared" si="9"/>
        <v>16720000</v>
      </c>
      <c r="Q37" s="379" t="s">
        <v>525</v>
      </c>
      <c r="R37" s="543"/>
      <c r="S37" s="543"/>
      <c r="T37" s="543"/>
      <c r="U37" s="543"/>
      <c r="V37" s="356" t="s">
        <v>2</v>
      </c>
      <c r="W37" s="357">
        <v>91999907</v>
      </c>
      <c r="X37" s="358" t="s">
        <v>603</v>
      </c>
      <c r="Y37" s="358" t="s">
        <v>508</v>
      </c>
      <c r="Z37" s="359">
        <v>7070</v>
      </c>
      <c r="AA37" s="360">
        <v>200</v>
      </c>
      <c r="AB37" s="447" t="s">
        <v>542</v>
      </c>
      <c r="AC37" s="448"/>
    </row>
    <row r="38" spans="1:31">
      <c r="A38" s="423" t="s">
        <v>858</v>
      </c>
      <c r="B38" s="536"/>
      <c r="C38" s="536"/>
      <c r="D38" s="536"/>
      <c r="E38" s="536"/>
      <c r="F38" s="536"/>
      <c r="G38" s="536"/>
      <c r="H38" s="536"/>
      <c r="I38" s="536"/>
      <c r="J38" s="536"/>
      <c r="K38" s="536">
        <f>AA51</f>
        <v>8000000</v>
      </c>
      <c r="L38" s="536"/>
      <c r="M38" s="536"/>
      <c r="N38" s="536"/>
      <c r="O38" s="568"/>
      <c r="P38" s="542">
        <f t="shared" si="9"/>
        <v>8000000</v>
      </c>
      <c r="Q38" s="379" t="s">
        <v>525</v>
      </c>
      <c r="R38" s="543"/>
      <c r="S38" s="543"/>
      <c r="T38" s="543"/>
      <c r="U38" s="543"/>
      <c r="V38" s="356" t="s">
        <v>2</v>
      </c>
      <c r="W38" s="357">
        <v>91999908</v>
      </c>
      <c r="X38" s="358" t="s">
        <v>507</v>
      </c>
      <c r="Y38" s="358" t="s">
        <v>508</v>
      </c>
      <c r="Z38" s="359">
        <v>7070</v>
      </c>
      <c r="AA38" s="360">
        <v>200</v>
      </c>
      <c r="AB38" s="447" t="s">
        <v>542</v>
      </c>
      <c r="AC38" s="448"/>
    </row>
    <row r="39" spans="1:31">
      <c r="A39" s="423" t="s">
        <v>884</v>
      </c>
      <c r="B39" s="536"/>
      <c r="C39" s="536"/>
      <c r="D39" s="536"/>
      <c r="E39" s="536"/>
      <c r="F39" s="536"/>
      <c r="G39" s="536"/>
      <c r="H39" s="536"/>
      <c r="I39" s="536"/>
      <c r="J39" s="536"/>
      <c r="K39" s="536"/>
      <c r="L39" s="536"/>
      <c r="M39" s="536"/>
      <c r="N39" s="536">
        <f>AA55</f>
        <v>9000000</v>
      </c>
      <c r="O39" s="568"/>
      <c r="P39" s="542">
        <f t="shared" si="9"/>
        <v>9000000</v>
      </c>
      <c r="Q39" s="379" t="s">
        <v>525</v>
      </c>
      <c r="R39" s="543"/>
      <c r="S39" s="543"/>
      <c r="T39" s="543"/>
      <c r="U39" s="543"/>
      <c r="V39" s="356" t="s">
        <v>2</v>
      </c>
      <c r="W39" s="357">
        <v>91999901</v>
      </c>
      <c r="X39" s="358" t="s">
        <v>507</v>
      </c>
      <c r="Y39" s="358" t="s">
        <v>508</v>
      </c>
      <c r="Z39" s="359">
        <v>9140</v>
      </c>
      <c r="AA39" s="360"/>
      <c r="AB39" s="750">
        <v>7.5999999999999998E-2</v>
      </c>
      <c r="AC39" s="448"/>
    </row>
    <row r="40" spans="1:31">
      <c r="A40" s="423" t="s">
        <v>1120</v>
      </c>
      <c r="B40" s="536"/>
      <c r="C40" s="536">
        <f>AA56</f>
        <v>8500000</v>
      </c>
      <c r="D40" s="536"/>
      <c r="E40" s="536"/>
      <c r="F40" s="536"/>
      <c r="G40" s="536"/>
      <c r="H40" s="536"/>
      <c r="I40" s="536"/>
      <c r="J40" s="536"/>
      <c r="K40" s="536"/>
      <c r="L40" s="536"/>
      <c r="M40" s="536"/>
      <c r="N40" s="536"/>
      <c r="O40" s="568"/>
      <c r="P40" s="542">
        <f t="shared" si="9"/>
        <v>8500000</v>
      </c>
      <c r="Q40" s="379" t="s">
        <v>525</v>
      </c>
      <c r="R40" s="543"/>
      <c r="S40" s="543"/>
      <c r="T40" s="543"/>
      <c r="U40" s="543"/>
      <c r="V40" s="356" t="s">
        <v>2</v>
      </c>
      <c r="W40" s="357">
        <v>91999907</v>
      </c>
      <c r="X40" s="358" t="s">
        <v>507</v>
      </c>
      <c r="Y40" s="358" t="s">
        <v>508</v>
      </c>
      <c r="Z40" s="359">
        <v>9140</v>
      </c>
      <c r="AA40" s="360"/>
      <c r="AB40" s="750">
        <v>0.56000000000000005</v>
      </c>
      <c r="AC40" s="448"/>
    </row>
    <row r="41" spans="1:31">
      <c r="A41" s="415"/>
      <c r="B41" s="452"/>
      <c r="C41" s="452"/>
      <c r="D41" s="452"/>
      <c r="E41" s="452"/>
      <c r="F41" s="452"/>
      <c r="G41" s="452"/>
      <c r="H41" s="452"/>
      <c r="I41" s="452"/>
      <c r="J41" s="452"/>
      <c r="K41" s="452"/>
      <c r="L41" s="452"/>
      <c r="M41" s="452"/>
      <c r="N41" s="452"/>
      <c r="O41" s="401"/>
      <c r="P41" s="542"/>
      <c r="Q41" s="543"/>
      <c r="R41" s="379"/>
      <c r="S41" s="379"/>
      <c r="T41" s="379"/>
      <c r="U41" s="379"/>
      <c r="V41" s="356" t="s">
        <v>773</v>
      </c>
      <c r="W41" s="357">
        <v>91999905</v>
      </c>
      <c r="X41" s="358" t="s">
        <v>507</v>
      </c>
      <c r="Y41" s="358" t="s">
        <v>508</v>
      </c>
      <c r="Z41" s="359" t="s">
        <v>649</v>
      </c>
      <c r="AA41" s="360"/>
      <c r="AB41" s="447">
        <v>1</v>
      </c>
      <c r="AC41" s="448"/>
    </row>
    <row r="42" spans="1:31">
      <c r="A42" s="528" t="s">
        <v>572</v>
      </c>
      <c r="B42" s="332"/>
      <c r="C42" s="332"/>
      <c r="D42" s="332"/>
      <c r="E42" s="340"/>
      <c r="F42" s="332"/>
      <c r="G42" s="332"/>
      <c r="H42" s="332"/>
      <c r="I42" s="332"/>
      <c r="J42" s="332"/>
      <c r="K42" s="340"/>
      <c r="L42" s="340"/>
      <c r="M42" s="340"/>
      <c r="N42" s="340"/>
      <c r="O42" s="401"/>
      <c r="P42" s="355"/>
      <c r="Q42" s="379"/>
      <c r="R42" s="379"/>
      <c r="S42" s="379"/>
      <c r="T42" s="379"/>
      <c r="U42" s="379"/>
      <c r="V42" s="356" t="s">
        <v>1196</v>
      </c>
      <c r="W42" s="357">
        <v>91999903</v>
      </c>
      <c r="X42" s="358" t="s">
        <v>1197</v>
      </c>
      <c r="Y42" s="358" t="s">
        <v>508</v>
      </c>
      <c r="Z42" s="359">
        <v>1000</v>
      </c>
      <c r="AA42" s="360">
        <v>11000000</v>
      </c>
      <c r="AB42" s="447"/>
      <c r="AC42" s="448"/>
    </row>
    <row r="43" spans="1:31">
      <c r="A43" s="445" t="s">
        <v>512</v>
      </c>
      <c r="B43" s="332">
        <f t="shared" ref="B43:O43" si="11">IF(OR(B19="A",B19="B"),B115,ROUND(B115*B13%,0))</f>
        <v>679452</v>
      </c>
      <c r="C43" s="332">
        <f t="shared" si="11"/>
        <v>679452</v>
      </c>
      <c r="D43" s="332">
        <f t="shared" si="11"/>
        <v>0</v>
      </c>
      <c r="E43" s="332">
        <f t="shared" si="11"/>
        <v>679452</v>
      </c>
      <c r="F43" s="332">
        <f t="shared" si="11"/>
        <v>679452</v>
      </c>
      <c r="G43" s="332">
        <f t="shared" si="11"/>
        <v>0</v>
      </c>
      <c r="H43" s="332">
        <f t="shared" si="11"/>
        <v>339726</v>
      </c>
      <c r="I43" s="332">
        <f t="shared" si="11"/>
        <v>0</v>
      </c>
      <c r="J43" s="332">
        <f t="shared" si="11"/>
        <v>0</v>
      </c>
      <c r="K43" s="332">
        <f t="shared" si="11"/>
        <v>0</v>
      </c>
      <c r="L43" s="332">
        <f t="shared" si="11"/>
        <v>0</v>
      </c>
      <c r="M43" s="332">
        <f t="shared" si="11"/>
        <v>0</v>
      </c>
      <c r="N43" s="332">
        <f t="shared" si="11"/>
        <v>0</v>
      </c>
      <c r="O43" s="332">
        <f t="shared" si="11"/>
        <v>0</v>
      </c>
      <c r="P43" s="345">
        <f>SUM(B43:O43)</f>
        <v>3057534</v>
      </c>
      <c r="Q43" s="379"/>
      <c r="R43" s="379" t="s">
        <v>597</v>
      </c>
      <c r="S43" s="379"/>
      <c r="T43" s="379"/>
      <c r="U43" s="379"/>
      <c r="V43" s="356" t="s">
        <v>1196</v>
      </c>
      <c r="W43" s="357">
        <v>91999903</v>
      </c>
      <c r="X43" s="358" t="s">
        <v>1197</v>
      </c>
      <c r="Y43" s="358" t="s">
        <v>508</v>
      </c>
      <c r="Z43" s="359">
        <v>1100</v>
      </c>
      <c r="AA43" s="360">
        <v>1100000</v>
      </c>
      <c r="AB43" s="447"/>
      <c r="AC43" s="448"/>
    </row>
    <row r="44" spans="1:31">
      <c r="A44" s="445" t="s">
        <v>534</v>
      </c>
      <c r="B44" s="332">
        <f t="shared" ref="B44:O44" si="12">IF(OR(B19="A",B19="B"),ROUND(2369796/365*B17,0),ROUND(ROUND(2466.55*$B$4,0)/365*B17,0))*B20*IF(B18&lt;3,0,IF(B18&lt;6,50%,100%))</f>
        <v>201270</v>
      </c>
      <c r="C44" s="332">
        <f t="shared" si="12"/>
        <v>402540</v>
      </c>
      <c r="D44" s="332">
        <f t="shared" si="12"/>
        <v>0</v>
      </c>
      <c r="E44" s="332">
        <f t="shared" si="12"/>
        <v>301905</v>
      </c>
      <c r="F44" s="332">
        <f t="shared" si="12"/>
        <v>0</v>
      </c>
      <c r="G44" s="332">
        <f t="shared" si="12"/>
        <v>0</v>
      </c>
      <c r="H44" s="332">
        <f t="shared" si="12"/>
        <v>9722330</v>
      </c>
      <c r="I44" s="332">
        <f t="shared" si="12"/>
        <v>0</v>
      </c>
      <c r="J44" s="332">
        <f t="shared" si="12"/>
        <v>0</v>
      </c>
      <c r="K44" s="332">
        <f t="shared" si="12"/>
        <v>0</v>
      </c>
      <c r="L44" s="332">
        <f t="shared" si="12"/>
        <v>0</v>
      </c>
      <c r="M44" s="332">
        <f t="shared" si="12"/>
        <v>0</v>
      </c>
      <c r="N44" s="332">
        <f t="shared" si="12"/>
        <v>0</v>
      </c>
      <c r="O44" s="400">
        <f t="shared" si="12"/>
        <v>0</v>
      </c>
      <c r="P44" s="346">
        <f>SUM(B44:O44)</f>
        <v>10628045</v>
      </c>
      <c r="Q44" s="379"/>
      <c r="R44" s="379" t="s">
        <v>597</v>
      </c>
      <c r="S44" s="379"/>
      <c r="T44" s="379"/>
      <c r="U44" s="379"/>
      <c r="V44" s="356" t="s">
        <v>1196</v>
      </c>
      <c r="W44" s="357">
        <v>91999903</v>
      </c>
      <c r="X44" s="358" t="s">
        <v>1197</v>
      </c>
      <c r="Y44" s="358" t="s">
        <v>508</v>
      </c>
      <c r="Z44" s="359">
        <v>1102</v>
      </c>
      <c r="AA44" s="360">
        <v>2350000</v>
      </c>
      <c r="AB44" s="447"/>
      <c r="AC44" s="448"/>
    </row>
    <row r="45" spans="1:31">
      <c r="A45" s="412"/>
      <c r="B45" s="331"/>
      <c r="C45" s="332"/>
      <c r="D45" s="332"/>
      <c r="E45" s="340"/>
      <c r="F45" s="368"/>
      <c r="G45" s="368"/>
      <c r="H45" s="368"/>
      <c r="I45" s="368"/>
      <c r="J45" s="368"/>
      <c r="K45" s="340"/>
      <c r="L45" s="340"/>
      <c r="M45" s="340"/>
      <c r="N45" s="340"/>
      <c r="O45" s="401"/>
      <c r="P45" s="355"/>
      <c r="Q45" s="379"/>
      <c r="R45" s="379"/>
      <c r="S45" s="379"/>
      <c r="T45" s="379"/>
      <c r="U45" s="379"/>
      <c r="V45" s="42"/>
      <c r="W45" s="43"/>
      <c r="X45" s="13"/>
      <c r="Y45" s="13"/>
      <c r="Z45" s="61"/>
      <c r="AA45" s="362"/>
      <c r="AB45" s="13"/>
      <c r="AC45" s="18"/>
      <c r="AD45" s="293"/>
      <c r="AE45" s="293"/>
    </row>
    <row r="46" spans="1:31">
      <c r="A46" s="450" t="s">
        <v>61</v>
      </c>
      <c r="B46" s="365">
        <f t="shared" ref="B46:O46" si="13">SUM(B25:B41)</f>
        <v>9100000</v>
      </c>
      <c r="C46" s="366">
        <f t="shared" si="13"/>
        <v>16560000</v>
      </c>
      <c r="D46" s="366">
        <f t="shared" si="13"/>
        <v>14450000</v>
      </c>
      <c r="E46" s="366">
        <f t="shared" si="13"/>
        <v>25475000</v>
      </c>
      <c r="F46" s="366">
        <f t="shared" si="13"/>
        <v>16000000</v>
      </c>
      <c r="G46" s="366">
        <f t="shared" si="13"/>
        <v>29006250</v>
      </c>
      <c r="H46" s="366">
        <f t="shared" si="13"/>
        <v>252301638</v>
      </c>
      <c r="I46" s="366">
        <f t="shared" si="13"/>
        <v>90499500</v>
      </c>
      <c r="J46" s="366">
        <f t="shared" si="13"/>
        <v>71500000</v>
      </c>
      <c r="K46" s="366">
        <f t="shared" si="13"/>
        <v>19335454</v>
      </c>
      <c r="L46" s="366">
        <f t="shared" si="13"/>
        <v>11500000</v>
      </c>
      <c r="M46" s="366">
        <f t="shared" si="13"/>
        <v>12923100</v>
      </c>
      <c r="N46" s="495">
        <f t="shared" si="13"/>
        <v>19850000</v>
      </c>
      <c r="O46" s="496">
        <f t="shared" si="13"/>
        <v>4500000</v>
      </c>
      <c r="P46" s="355">
        <f>SUM(B46:O46)</f>
        <v>593000942</v>
      </c>
      <c r="Q46" s="379"/>
      <c r="R46" s="379"/>
      <c r="S46" s="379"/>
      <c r="T46" s="379"/>
      <c r="U46" s="379"/>
      <c r="V46" s="42"/>
      <c r="W46" s="43"/>
      <c r="X46" s="13"/>
      <c r="Y46" s="13"/>
      <c r="Z46" s="61"/>
      <c r="AA46" s="362"/>
      <c r="AB46" s="13"/>
      <c r="AC46" s="18"/>
      <c r="AD46" s="293"/>
      <c r="AE46" s="293"/>
    </row>
    <row r="47" spans="1:31">
      <c r="A47" s="418"/>
      <c r="B47" s="331"/>
      <c r="C47" s="332"/>
      <c r="D47" s="332"/>
      <c r="E47" s="340"/>
      <c r="F47" s="332"/>
      <c r="G47" s="332"/>
      <c r="H47" s="332"/>
      <c r="I47" s="332"/>
      <c r="J47" s="332"/>
      <c r="K47" s="340"/>
      <c r="L47" s="340"/>
      <c r="M47" s="340"/>
      <c r="N47" s="340"/>
      <c r="O47" s="401"/>
      <c r="P47" s="355"/>
      <c r="Q47" s="379"/>
      <c r="R47" s="379"/>
      <c r="S47" s="379"/>
      <c r="T47" s="379"/>
      <c r="U47" s="379"/>
      <c r="V47" s="42"/>
      <c r="W47" s="43"/>
      <c r="X47" s="13"/>
      <c r="Y47" s="13"/>
      <c r="Z47" s="61"/>
      <c r="AA47" s="362"/>
      <c r="AB47" s="13"/>
      <c r="AC47" s="18"/>
      <c r="AD47" s="293"/>
      <c r="AE47" s="293"/>
    </row>
    <row r="48" spans="1:31" ht="15.6">
      <c r="A48" s="419" t="s">
        <v>60</v>
      </c>
      <c r="B48" s="369"/>
      <c r="C48" s="362"/>
      <c r="D48" s="362"/>
      <c r="E48" s="370"/>
      <c r="F48" s="362"/>
      <c r="G48" s="362"/>
      <c r="H48" s="362"/>
      <c r="I48" s="362"/>
      <c r="J48" s="362"/>
      <c r="K48" s="370"/>
      <c r="L48" s="370"/>
      <c r="M48" s="370"/>
      <c r="N48" s="370"/>
      <c r="O48" s="383"/>
      <c r="P48" s="355"/>
      <c r="Q48" s="379"/>
      <c r="R48" s="379"/>
      <c r="S48" s="379"/>
      <c r="T48" s="379"/>
      <c r="U48" s="379"/>
      <c r="V48" s="24" t="s">
        <v>57</v>
      </c>
      <c r="W48" s="37" t="s">
        <v>67</v>
      </c>
      <c r="X48" s="37" t="s">
        <v>69</v>
      </c>
      <c r="Y48" s="37" t="s">
        <v>70</v>
      </c>
      <c r="Z48" s="62" t="s">
        <v>56</v>
      </c>
      <c r="AA48" s="363" t="s">
        <v>54</v>
      </c>
      <c r="AB48" s="37" t="s">
        <v>58</v>
      </c>
      <c r="AC48" s="38" t="s">
        <v>59</v>
      </c>
      <c r="AD48" s="293"/>
      <c r="AE48" s="293"/>
    </row>
    <row r="49" spans="1:31">
      <c r="A49" s="414" t="s">
        <v>55</v>
      </c>
      <c r="B49" s="369"/>
      <c r="C49" s="362"/>
      <c r="D49" s="362"/>
      <c r="E49" s="370"/>
      <c r="F49" s="362"/>
      <c r="G49" s="362"/>
      <c r="H49" s="362"/>
      <c r="I49" s="362"/>
      <c r="J49" s="362"/>
      <c r="K49" s="370"/>
      <c r="L49" s="370"/>
      <c r="M49" s="370"/>
      <c r="N49" s="370"/>
      <c r="O49" s="383"/>
      <c r="P49" s="355"/>
      <c r="Q49" s="379"/>
      <c r="R49" s="379"/>
      <c r="S49" s="379"/>
      <c r="T49" s="379"/>
      <c r="U49" s="379"/>
      <c r="V49" s="523" t="s">
        <v>860</v>
      </c>
      <c r="W49" s="524">
        <v>91999904</v>
      </c>
      <c r="X49" s="525" t="s">
        <v>848</v>
      </c>
      <c r="Y49" s="525" t="s">
        <v>848</v>
      </c>
      <c r="Z49" s="569">
        <v>3220</v>
      </c>
      <c r="AA49" s="368">
        <v>30000000</v>
      </c>
      <c r="AB49" s="570"/>
      <c r="AC49" s="571"/>
      <c r="AD49" s="293"/>
      <c r="AE49" s="293"/>
    </row>
    <row r="50" spans="1:31">
      <c r="A50" s="424" t="s">
        <v>576</v>
      </c>
      <c r="B50" s="332">
        <f>ROUND(MIN(B$122,29800000)*'New Hire'!C56,0)</f>
        <v>728000</v>
      </c>
      <c r="C50" s="332">
        <f>ROUND(MIN(C$122,29800000)*'New Hire'!D56,0)</f>
        <v>644800</v>
      </c>
      <c r="D50" s="332">
        <f>ROUND(MIN(D$122,29800000)*'New Hire'!E56,0)</f>
        <v>0</v>
      </c>
      <c r="E50" s="332">
        <f>ROUND(MIN(E$122,29800000)*'New Hire'!F56,0)</f>
        <v>0</v>
      </c>
      <c r="F50" s="332">
        <f>ROUND(MIN(F$122,29800000)*'New Hire'!G56,0)</f>
        <v>0</v>
      </c>
      <c r="G50" s="332">
        <f>ROUND(MIN(G$122,29800000)*'New Hire'!H56,0)</f>
        <v>0</v>
      </c>
      <c r="H50" s="332">
        <f>ROUND(MIN(H$122,29800000)*'New Hire'!I56,0)</f>
        <v>0</v>
      </c>
      <c r="I50" s="332">
        <f>ROUND(MIN(I$122,29800000)*'New Hire'!J56,0)</f>
        <v>0</v>
      </c>
      <c r="J50" s="332">
        <f>ROUND(MIN(J$122,29800000)*'New Hire'!K56,0)</f>
        <v>2384000</v>
      </c>
      <c r="K50" s="332">
        <f>ROUND(MIN(K$122,29800000)*'New Hire'!L56,0)</f>
        <v>0</v>
      </c>
      <c r="L50" s="332">
        <f>ROUND(MIN(L$122,29800000)*'New Hire'!M56,0)</f>
        <v>920000</v>
      </c>
      <c r="M50" s="332">
        <f>ROUND(MIN(M$122,29800000)*'New Hire'!N56,0)</f>
        <v>0</v>
      </c>
      <c r="N50" s="332">
        <f>ROUND(MIN(N$122,29800000)*'New Hire'!O56,0)</f>
        <v>0</v>
      </c>
      <c r="O50" s="400">
        <f>ROUND(MIN(O$122,29800000)*'New Hire'!P56,0)</f>
        <v>0</v>
      </c>
      <c r="P50" s="355">
        <f t="shared" ref="P50:P57" si="14">SUM(B50:O50)</f>
        <v>4676800</v>
      </c>
      <c r="Q50" s="379"/>
      <c r="R50" s="379"/>
      <c r="S50" s="379"/>
      <c r="T50" s="379"/>
      <c r="U50" s="379"/>
      <c r="V50" s="523" t="s">
        <v>681</v>
      </c>
      <c r="W50" s="524">
        <v>91999907</v>
      </c>
      <c r="X50" s="525" t="s">
        <v>848</v>
      </c>
      <c r="Y50" s="525" t="s">
        <v>848</v>
      </c>
      <c r="Z50" s="569">
        <v>3220</v>
      </c>
      <c r="AA50" s="368">
        <v>50000000</v>
      </c>
      <c r="AB50" s="570"/>
      <c r="AC50" s="571"/>
      <c r="AD50" s="293"/>
      <c r="AE50" s="293"/>
    </row>
    <row r="51" spans="1:31">
      <c r="A51" s="445" t="s">
        <v>577</v>
      </c>
      <c r="B51" s="332">
        <f>ROUND(MIN(B$122,83600000)*'New Hire'!C59,0)</f>
        <v>91000</v>
      </c>
      <c r="C51" s="332">
        <f>ROUND(MIN(C$122,83600000)*'New Hire'!D59,0)</f>
        <v>80600</v>
      </c>
      <c r="D51" s="332">
        <f>ROUND(MIN(D$122,83600000)*'New Hire'!E59,0)</f>
        <v>144500</v>
      </c>
      <c r="E51" s="332">
        <f>ROUND(MIN(E$122,83600000)*'New Hire'!F59,0)</f>
        <v>0</v>
      </c>
      <c r="F51" s="332">
        <f>ROUND(MIN(F$122,83600000)*'New Hire'!G59,0)</f>
        <v>0</v>
      </c>
      <c r="G51" s="332">
        <f>ROUND(MIN(G$122,83600000)*'New Hire'!H59,0)</f>
        <v>0</v>
      </c>
      <c r="H51" s="332">
        <f>ROUND(MIN(H$122,83600000)*'New Hire'!I59,0)</f>
        <v>0</v>
      </c>
      <c r="I51" s="332">
        <f>ROUND(MIN(I$122,83600000)*'New Hire'!J59,0)</f>
        <v>0</v>
      </c>
      <c r="J51" s="332">
        <f>ROUND(MIN(J$122,83600000)*'New Hire'!K59,0)</f>
        <v>715000</v>
      </c>
      <c r="K51" s="332">
        <f>ROUND(MIN(K$122,83600000)*'New Hire'!L59,0)</f>
        <v>0</v>
      </c>
      <c r="L51" s="332">
        <f>ROUND(MIN(L$122,83600000)*'New Hire'!M59,0)</f>
        <v>115000</v>
      </c>
      <c r="M51" s="332">
        <f>ROUND(MIN(M$122,83600000)*'New Hire'!N59,0)</f>
        <v>0</v>
      </c>
      <c r="N51" s="332">
        <f>ROUND(MIN(N$122,83600000)*'New Hire'!O59,0)</f>
        <v>0</v>
      </c>
      <c r="O51" s="400">
        <f>ROUND(MIN(O$122,83600000)*'New Hire'!P59,0)</f>
        <v>0</v>
      </c>
      <c r="P51" s="355">
        <f t="shared" si="14"/>
        <v>1146100</v>
      </c>
      <c r="Q51" s="379"/>
      <c r="R51" s="379"/>
      <c r="S51" s="379"/>
      <c r="T51" s="379"/>
      <c r="U51" s="379"/>
      <c r="V51" s="523" t="s">
        <v>860</v>
      </c>
      <c r="W51" s="524">
        <v>91999910</v>
      </c>
      <c r="X51" s="525" t="s">
        <v>848</v>
      </c>
      <c r="Y51" s="525" t="s">
        <v>848</v>
      </c>
      <c r="Z51" s="569">
        <v>3221</v>
      </c>
      <c r="AA51" s="368">
        <v>8000000</v>
      </c>
      <c r="AB51" s="570"/>
      <c r="AC51" s="571"/>
      <c r="AE51" s="293"/>
    </row>
    <row r="52" spans="1:31">
      <c r="A52" s="445" t="s">
        <v>578</v>
      </c>
      <c r="B52" s="332">
        <f>ROUND(MIN(B$122,29800000)*'New Hire'!C62,0)</f>
        <v>136500</v>
      </c>
      <c r="C52" s="332">
        <f>ROUND(MIN(C$122,29800000)*'New Hire'!D62,0)</f>
        <v>120900</v>
      </c>
      <c r="D52" s="332">
        <f>ROUND(MIN(D$122,29800000)*'New Hire'!E62,0)</f>
        <v>216750</v>
      </c>
      <c r="E52" s="332">
        <f>ROUND(MIN(E$122,29800000)*'New Hire'!F62,0)</f>
        <v>0</v>
      </c>
      <c r="F52" s="332">
        <f>ROUND(MIN(F$122,29800000)*'New Hire'!G62,0)</f>
        <v>0</v>
      </c>
      <c r="G52" s="332">
        <f>ROUND(MIN(G$122,29800000)*'New Hire'!H62,0)</f>
        <v>0</v>
      </c>
      <c r="H52" s="332">
        <f>ROUND(MIN(H$122,29800000)*'New Hire'!I62,0)</f>
        <v>0</v>
      </c>
      <c r="I52" s="332">
        <f>ROUND(MIN(I$122,29800000)*'New Hire'!J62,0)</f>
        <v>447000</v>
      </c>
      <c r="J52" s="332">
        <f>ROUND(MIN(J$122,29800000)*'New Hire'!K62,0)</f>
        <v>447000</v>
      </c>
      <c r="K52" s="332">
        <f>ROUND(MIN(K$122,29800000)*'New Hire'!L62,0)</f>
        <v>0</v>
      </c>
      <c r="L52" s="332">
        <f>ROUND(MIN(L$122,29800000)*'New Hire'!M62,0)</f>
        <v>172500</v>
      </c>
      <c r="M52" s="332">
        <f>ROUND(MIN(M$122,29800000)*'New Hire'!N62,0)</f>
        <v>0</v>
      </c>
      <c r="N52" s="332">
        <f>ROUND(MIN(N$122,29800000)*'New Hire'!O62,0)</f>
        <v>0</v>
      </c>
      <c r="O52" s="400">
        <f>ROUND(MIN(O$122,29800000)*'New Hire'!P62,0)</f>
        <v>0</v>
      </c>
      <c r="P52" s="355">
        <f t="shared" si="14"/>
        <v>1540650</v>
      </c>
      <c r="Q52" s="379"/>
      <c r="R52" s="379"/>
      <c r="S52" s="379"/>
      <c r="T52" s="379"/>
      <c r="U52" s="379"/>
      <c r="V52" s="523" t="s">
        <v>860</v>
      </c>
      <c r="W52" s="524">
        <v>91999904</v>
      </c>
      <c r="X52" s="525" t="s">
        <v>848</v>
      </c>
      <c r="Y52" s="525" t="s">
        <v>848</v>
      </c>
      <c r="Z52" s="569">
        <v>3230</v>
      </c>
      <c r="AA52" s="368"/>
      <c r="AB52" s="570">
        <v>1</v>
      </c>
      <c r="AC52" s="571"/>
      <c r="AE52" s="293"/>
    </row>
    <row r="53" spans="1:31">
      <c r="A53" s="412" t="s">
        <v>111</v>
      </c>
      <c r="B53" s="331">
        <f t="shared" ref="B53:O53" si="15">B129</f>
        <v>0</v>
      </c>
      <c r="C53" s="332">
        <f t="shared" si="15"/>
        <v>0</v>
      </c>
      <c r="D53" s="332">
        <f t="shared" si="15"/>
        <v>258875</v>
      </c>
      <c r="E53" s="332">
        <f t="shared" si="15"/>
        <v>0</v>
      </c>
      <c r="F53" s="332">
        <f t="shared" si="15"/>
        <v>1667945</v>
      </c>
      <c r="G53" s="332">
        <f t="shared" si="15"/>
        <v>2351250</v>
      </c>
      <c r="H53" s="332">
        <f t="shared" si="15"/>
        <v>2835636</v>
      </c>
      <c r="I53" s="332">
        <f t="shared" si="15"/>
        <v>18099900</v>
      </c>
      <c r="J53" s="332">
        <f t="shared" si="15"/>
        <v>11836200</v>
      </c>
      <c r="K53" s="332">
        <f t="shared" si="15"/>
        <v>200000</v>
      </c>
      <c r="L53" s="332">
        <f t="shared" si="15"/>
        <v>64625</v>
      </c>
      <c r="M53" s="332">
        <f t="shared" si="15"/>
        <v>135578</v>
      </c>
      <c r="N53" s="332">
        <f t="shared" si="15"/>
        <v>92500</v>
      </c>
      <c r="O53" s="400">
        <f t="shared" si="15"/>
        <v>450000</v>
      </c>
      <c r="P53" s="355">
        <f t="shared" si="14"/>
        <v>37992509</v>
      </c>
      <c r="Q53" s="379"/>
      <c r="R53" s="379"/>
      <c r="S53" s="379"/>
      <c r="T53" s="379"/>
      <c r="U53" s="379"/>
      <c r="V53" s="523" t="s">
        <v>860</v>
      </c>
      <c r="W53" s="524">
        <v>91999907</v>
      </c>
      <c r="X53" s="525" t="s">
        <v>848</v>
      </c>
      <c r="Y53" s="525" t="s">
        <v>848</v>
      </c>
      <c r="Z53" s="569">
        <v>3230</v>
      </c>
      <c r="AA53" s="368"/>
      <c r="AB53" s="570">
        <v>1</v>
      </c>
      <c r="AC53" s="571"/>
      <c r="AE53" s="293"/>
    </row>
    <row r="54" spans="1:31">
      <c r="A54" s="445" t="s">
        <v>514</v>
      </c>
      <c r="B54" s="332">
        <f t="shared" ref="B54:O54" si="16">B115-B43</f>
        <v>0</v>
      </c>
      <c r="C54" s="332">
        <f t="shared" si="16"/>
        <v>0</v>
      </c>
      <c r="D54" s="332">
        <f t="shared" si="16"/>
        <v>0</v>
      </c>
      <c r="E54" s="332">
        <f t="shared" si="16"/>
        <v>0</v>
      </c>
      <c r="F54" s="332">
        <f t="shared" si="16"/>
        <v>0</v>
      </c>
      <c r="G54" s="332">
        <f t="shared" si="16"/>
        <v>0</v>
      </c>
      <c r="H54" s="332">
        <f t="shared" si="16"/>
        <v>339726</v>
      </c>
      <c r="I54" s="332">
        <f t="shared" si="16"/>
        <v>0</v>
      </c>
      <c r="J54" s="332">
        <f t="shared" si="16"/>
        <v>0</v>
      </c>
      <c r="K54" s="332">
        <f t="shared" si="16"/>
        <v>0</v>
      </c>
      <c r="L54" s="332">
        <f t="shared" si="16"/>
        <v>0</v>
      </c>
      <c r="M54" s="332">
        <f t="shared" si="16"/>
        <v>0</v>
      </c>
      <c r="N54" s="332">
        <f t="shared" si="16"/>
        <v>0</v>
      </c>
      <c r="O54" s="400">
        <f t="shared" si="16"/>
        <v>0</v>
      </c>
      <c r="P54" s="355">
        <f t="shared" si="14"/>
        <v>339726</v>
      </c>
      <c r="Q54" s="379"/>
      <c r="R54" s="379"/>
      <c r="S54" s="379"/>
      <c r="T54" s="379"/>
      <c r="U54" s="379"/>
      <c r="V54" s="523" t="s">
        <v>860</v>
      </c>
      <c r="W54" s="524">
        <v>91999910</v>
      </c>
      <c r="X54" s="525" t="s">
        <v>848</v>
      </c>
      <c r="Y54" s="525" t="s">
        <v>848</v>
      </c>
      <c r="Z54" s="569">
        <v>3231</v>
      </c>
      <c r="AA54" s="368"/>
      <c r="AB54" s="570">
        <v>1</v>
      </c>
      <c r="AC54" s="571"/>
      <c r="AE54" s="293"/>
    </row>
    <row r="55" spans="1:31">
      <c r="A55" s="445" t="s">
        <v>535</v>
      </c>
      <c r="B55" s="332">
        <f>B44</f>
        <v>201270</v>
      </c>
      <c r="C55" s="332">
        <f t="shared" ref="C55:O55" si="17">C44</f>
        <v>402540</v>
      </c>
      <c r="D55" s="332">
        <f t="shared" si="17"/>
        <v>0</v>
      </c>
      <c r="E55" s="332">
        <f t="shared" si="17"/>
        <v>301905</v>
      </c>
      <c r="F55" s="332">
        <f t="shared" si="17"/>
        <v>0</v>
      </c>
      <c r="G55" s="332">
        <f t="shared" si="17"/>
        <v>0</v>
      </c>
      <c r="H55" s="332">
        <f t="shared" si="17"/>
        <v>9722330</v>
      </c>
      <c r="I55" s="332">
        <f t="shared" si="17"/>
        <v>0</v>
      </c>
      <c r="J55" s="332">
        <f t="shared" si="17"/>
        <v>0</v>
      </c>
      <c r="K55" s="332">
        <f t="shared" si="17"/>
        <v>0</v>
      </c>
      <c r="L55" s="332">
        <f t="shared" si="17"/>
        <v>0</v>
      </c>
      <c r="M55" s="332">
        <f t="shared" si="17"/>
        <v>0</v>
      </c>
      <c r="N55" s="332">
        <f t="shared" si="17"/>
        <v>0</v>
      </c>
      <c r="O55" s="400">
        <f t="shared" si="17"/>
        <v>0</v>
      </c>
      <c r="P55" s="346">
        <f t="shared" si="14"/>
        <v>10628045</v>
      </c>
      <c r="Q55" s="379"/>
      <c r="R55" s="379"/>
      <c r="S55" s="379"/>
      <c r="T55" s="379"/>
      <c r="U55" s="379"/>
      <c r="V55" s="523" t="s">
        <v>681</v>
      </c>
      <c r="W55" s="524">
        <v>91999913</v>
      </c>
      <c r="X55" s="525" t="s">
        <v>848</v>
      </c>
      <c r="Y55" s="525" t="s">
        <v>848</v>
      </c>
      <c r="Z55" s="569">
        <v>3297</v>
      </c>
      <c r="AA55" s="368">
        <v>9000000</v>
      </c>
      <c r="AB55" s="570"/>
      <c r="AC55" s="571"/>
      <c r="AE55" s="293"/>
    </row>
    <row r="56" spans="1:31">
      <c r="A56" s="445" t="s">
        <v>538</v>
      </c>
      <c r="B56" s="332">
        <f>B116</f>
        <v>594521</v>
      </c>
      <c r="C56" s="332">
        <f t="shared" ref="C56:O56" si="18">C116</f>
        <v>594521</v>
      </c>
      <c r="D56" s="332">
        <f t="shared" si="18"/>
        <v>0</v>
      </c>
      <c r="E56" s="332">
        <f t="shared" si="18"/>
        <v>594521</v>
      </c>
      <c r="F56" s="332">
        <f t="shared" si="18"/>
        <v>594521</v>
      </c>
      <c r="G56" s="332">
        <f t="shared" si="18"/>
        <v>0</v>
      </c>
      <c r="H56" s="332">
        <f t="shared" si="18"/>
        <v>594521</v>
      </c>
      <c r="I56" s="332">
        <f t="shared" si="18"/>
        <v>0</v>
      </c>
      <c r="J56" s="332">
        <f t="shared" si="18"/>
        <v>0</v>
      </c>
      <c r="K56" s="332">
        <f t="shared" si="18"/>
        <v>0</v>
      </c>
      <c r="L56" s="332">
        <f t="shared" si="18"/>
        <v>0</v>
      </c>
      <c r="M56" s="332">
        <f t="shared" si="18"/>
        <v>0</v>
      </c>
      <c r="N56" s="332">
        <f t="shared" si="18"/>
        <v>0</v>
      </c>
      <c r="O56" s="332">
        <f t="shared" si="18"/>
        <v>0</v>
      </c>
      <c r="P56" s="355">
        <f t="shared" si="14"/>
        <v>2972605</v>
      </c>
      <c r="Q56" s="379"/>
      <c r="R56" s="379"/>
      <c r="S56" s="347"/>
      <c r="T56" s="347"/>
      <c r="U56" s="347"/>
      <c r="V56" s="523" t="s">
        <v>681</v>
      </c>
      <c r="W56" s="524">
        <v>91999902</v>
      </c>
      <c r="X56" s="525" t="s">
        <v>848</v>
      </c>
      <c r="Y56" s="525" t="s">
        <v>848</v>
      </c>
      <c r="Z56" s="569">
        <v>3298</v>
      </c>
      <c r="AA56" s="368">
        <v>8500000</v>
      </c>
      <c r="AB56" s="570"/>
      <c r="AC56" s="571"/>
      <c r="AE56" s="293"/>
    </row>
    <row r="57" spans="1:31">
      <c r="A57" s="445" t="s">
        <v>539</v>
      </c>
      <c r="B57" s="332">
        <f>IF(OR(B19="A",B19="B"),0,ROUND(ROUND(297.1*$B$4,0)/365*B17,0))*B20</f>
        <v>0</v>
      </c>
      <c r="C57" s="332">
        <f t="shared" ref="C57:O57" si="19">IF(OR(C19="A",C19="B"),0,ROUND(ROUND(297.1*$B$4,0)/365*C17,0))*C20</f>
        <v>0</v>
      </c>
      <c r="D57" s="332">
        <f t="shared" si="19"/>
        <v>0</v>
      </c>
      <c r="E57" s="332">
        <f t="shared" si="19"/>
        <v>0</v>
      </c>
      <c r="F57" s="332">
        <f t="shared" si="19"/>
        <v>0</v>
      </c>
      <c r="G57" s="332">
        <f t="shared" si="19"/>
        <v>0</v>
      </c>
      <c r="H57" s="332">
        <f t="shared" si="19"/>
        <v>1171070</v>
      </c>
      <c r="I57" s="332">
        <f t="shared" si="19"/>
        <v>0</v>
      </c>
      <c r="J57" s="332">
        <f t="shared" si="19"/>
        <v>0</v>
      </c>
      <c r="K57" s="332">
        <f t="shared" si="19"/>
        <v>0</v>
      </c>
      <c r="L57" s="332">
        <f t="shared" si="19"/>
        <v>0</v>
      </c>
      <c r="M57" s="332">
        <f t="shared" si="19"/>
        <v>0</v>
      </c>
      <c r="N57" s="332">
        <f t="shared" si="19"/>
        <v>0</v>
      </c>
      <c r="O57" s="332">
        <f t="shared" si="19"/>
        <v>0</v>
      </c>
      <c r="P57" s="346">
        <f t="shared" si="14"/>
        <v>1171070</v>
      </c>
      <c r="R57" s="347"/>
      <c r="S57" s="347"/>
      <c r="T57" s="347"/>
      <c r="U57" s="347"/>
      <c r="V57" s="42"/>
      <c r="W57" s="43"/>
      <c r="X57" s="13"/>
      <c r="Y57" s="13"/>
      <c r="Z57" s="61"/>
      <c r="AA57" s="362"/>
      <c r="AB57" s="13"/>
      <c r="AC57" s="18"/>
      <c r="AD57" s="293"/>
      <c r="AE57" s="293"/>
    </row>
    <row r="58" spans="1:31">
      <c r="A58" s="412"/>
      <c r="B58" s="371"/>
      <c r="C58" s="372"/>
      <c r="D58" s="372"/>
      <c r="E58" s="373"/>
      <c r="F58" s="372"/>
      <c r="G58" s="372"/>
      <c r="H58" s="372"/>
      <c r="I58" s="372"/>
      <c r="J58" s="372"/>
      <c r="K58" s="373"/>
      <c r="L58" s="373"/>
      <c r="M58" s="373"/>
      <c r="N58" s="373"/>
      <c r="O58" s="403"/>
      <c r="P58" s="355"/>
      <c r="Q58" s="379"/>
      <c r="R58" s="379"/>
      <c r="S58" s="379"/>
      <c r="T58" s="379"/>
      <c r="U58" s="379"/>
      <c r="V58" s="42"/>
      <c r="W58" s="43"/>
      <c r="X58" s="13"/>
      <c r="Y58" s="13"/>
      <c r="Z58" s="61"/>
      <c r="AA58" s="362"/>
      <c r="AB58" s="13"/>
      <c r="AC58" s="18"/>
      <c r="AD58" s="293"/>
      <c r="AE58" s="293"/>
    </row>
    <row r="59" spans="1:31">
      <c r="A59" s="420" t="s">
        <v>4</v>
      </c>
      <c r="B59" s="365">
        <f t="shared" ref="B59:O59" si="20">SUM(B50:B58)</f>
        <v>1751291</v>
      </c>
      <c r="C59" s="366">
        <f t="shared" si="20"/>
        <v>1843361</v>
      </c>
      <c r="D59" s="366">
        <f t="shared" si="20"/>
        <v>620125</v>
      </c>
      <c r="E59" s="366">
        <f t="shared" si="20"/>
        <v>896426</v>
      </c>
      <c r="F59" s="366">
        <f t="shared" si="20"/>
        <v>2262466</v>
      </c>
      <c r="G59" s="366">
        <f t="shared" si="20"/>
        <v>2351250</v>
      </c>
      <c r="H59" s="366">
        <f t="shared" si="20"/>
        <v>14663283</v>
      </c>
      <c r="I59" s="366">
        <f t="shared" si="20"/>
        <v>18546900</v>
      </c>
      <c r="J59" s="366">
        <f t="shared" si="20"/>
        <v>15382200</v>
      </c>
      <c r="K59" s="366">
        <f t="shared" si="20"/>
        <v>200000</v>
      </c>
      <c r="L59" s="366">
        <f t="shared" si="20"/>
        <v>1272125</v>
      </c>
      <c r="M59" s="366">
        <f t="shared" si="20"/>
        <v>135578</v>
      </c>
      <c r="N59" s="495">
        <f t="shared" si="20"/>
        <v>92500</v>
      </c>
      <c r="O59" s="496">
        <f t="shared" si="20"/>
        <v>450000</v>
      </c>
      <c r="P59" s="355">
        <f>SUM(B59:O59)</f>
        <v>60467505</v>
      </c>
      <c r="Q59" s="379"/>
      <c r="R59" s="379"/>
      <c r="S59" s="379"/>
      <c r="T59" s="379"/>
      <c r="U59" s="379"/>
      <c r="V59" s="42"/>
      <c r="W59" s="43"/>
      <c r="X59" s="13"/>
      <c r="Y59" s="13"/>
      <c r="Z59" s="61"/>
      <c r="AA59" s="362"/>
      <c r="AB59" s="13"/>
      <c r="AC59" s="18"/>
      <c r="AD59" s="293"/>
      <c r="AE59" s="293"/>
    </row>
    <row r="60" spans="1:31">
      <c r="A60" s="421"/>
      <c r="B60" s="331"/>
      <c r="C60" s="332"/>
      <c r="D60" s="332"/>
      <c r="E60" s="340"/>
      <c r="F60" s="332"/>
      <c r="G60" s="332"/>
      <c r="H60" s="332"/>
      <c r="I60" s="332"/>
      <c r="J60" s="332"/>
      <c r="K60" s="340"/>
      <c r="L60" s="340"/>
      <c r="M60" s="340"/>
      <c r="N60" s="340"/>
      <c r="O60" s="401"/>
      <c r="P60" s="355"/>
      <c r="Q60" s="379"/>
      <c r="R60" s="379"/>
      <c r="S60" s="379"/>
      <c r="T60" s="379"/>
      <c r="U60" s="379"/>
      <c r="V60" s="24" t="s">
        <v>57</v>
      </c>
      <c r="W60" s="37" t="s">
        <v>67</v>
      </c>
      <c r="X60" s="37" t="s">
        <v>69</v>
      </c>
      <c r="Y60" s="37" t="s">
        <v>70</v>
      </c>
      <c r="Z60" s="62" t="s">
        <v>425</v>
      </c>
      <c r="AA60" s="363" t="s">
        <v>426</v>
      </c>
      <c r="AB60" s="37" t="s">
        <v>56</v>
      </c>
      <c r="AC60" s="38"/>
      <c r="AD60" s="293"/>
      <c r="AE60" s="293"/>
    </row>
    <row r="61" spans="1:31" ht="14.4" thickBot="1">
      <c r="A61" s="450" t="s">
        <v>5</v>
      </c>
      <c r="B61" s="334">
        <f t="shared" ref="B61:O61" si="21">MAX(B46-B59,0)</f>
        <v>7348709</v>
      </c>
      <c r="C61" s="334">
        <f t="shared" si="21"/>
        <v>14716639</v>
      </c>
      <c r="D61" s="334">
        <f t="shared" si="21"/>
        <v>13829875</v>
      </c>
      <c r="E61" s="334">
        <f t="shared" si="21"/>
        <v>24578574</v>
      </c>
      <c r="F61" s="334">
        <f t="shared" si="21"/>
        <v>13737534</v>
      </c>
      <c r="G61" s="334">
        <f t="shared" si="21"/>
        <v>26655000</v>
      </c>
      <c r="H61" s="334">
        <f t="shared" si="21"/>
        <v>237638355</v>
      </c>
      <c r="I61" s="334">
        <f t="shared" si="21"/>
        <v>71952600</v>
      </c>
      <c r="J61" s="334">
        <f t="shared" si="21"/>
        <v>56117800</v>
      </c>
      <c r="K61" s="334">
        <f t="shared" si="21"/>
        <v>19135454</v>
      </c>
      <c r="L61" s="334">
        <f t="shared" si="21"/>
        <v>10227875</v>
      </c>
      <c r="M61" s="334">
        <f t="shared" si="21"/>
        <v>12787522</v>
      </c>
      <c r="N61" s="334">
        <f t="shared" si="21"/>
        <v>19757500</v>
      </c>
      <c r="O61" s="334">
        <f t="shared" si="21"/>
        <v>4050000</v>
      </c>
      <c r="P61" s="355">
        <f>SUM(B61:O61)</f>
        <v>532533437</v>
      </c>
      <c r="Q61" s="379"/>
      <c r="R61" s="379"/>
      <c r="S61" s="379"/>
      <c r="T61" s="379"/>
      <c r="U61" s="379"/>
      <c r="V61" s="523" t="s">
        <v>424</v>
      </c>
      <c r="W61" s="524">
        <v>91999906</v>
      </c>
      <c r="X61" s="525" t="s">
        <v>848</v>
      </c>
      <c r="Y61" s="525" t="s">
        <v>848</v>
      </c>
      <c r="Z61" s="292">
        <v>0.375</v>
      </c>
      <c r="AA61" s="292">
        <v>0.47916666666666669</v>
      </c>
      <c r="AB61" s="290">
        <v>9180</v>
      </c>
      <c r="AC61" s="479">
        <v>2.5</v>
      </c>
      <c r="AD61" s="293"/>
      <c r="AE61" s="293"/>
    </row>
    <row r="62" spans="1:31" ht="14.4" thickTop="1">
      <c r="A62" s="450"/>
      <c r="B62" s="332"/>
      <c r="C62" s="332"/>
      <c r="D62" s="332"/>
      <c r="E62" s="332"/>
      <c r="F62" s="332"/>
      <c r="G62" s="332"/>
      <c r="H62" s="332"/>
      <c r="I62" s="332"/>
      <c r="J62" s="332"/>
      <c r="K62" s="332"/>
      <c r="L62" s="332"/>
      <c r="M62" s="332"/>
      <c r="N62" s="332"/>
      <c r="O62" s="332"/>
      <c r="P62" s="355"/>
      <c r="Q62" s="379"/>
      <c r="R62" s="379"/>
      <c r="S62" s="379"/>
      <c r="T62" s="379"/>
      <c r="U62" s="379"/>
      <c r="V62" s="523" t="s">
        <v>423</v>
      </c>
      <c r="W62" s="524">
        <v>91999906</v>
      </c>
      <c r="X62" s="525" t="s">
        <v>850</v>
      </c>
      <c r="Y62" s="525" t="s">
        <v>850</v>
      </c>
      <c r="Z62" s="292">
        <v>0.375</v>
      </c>
      <c r="AA62" s="292">
        <v>0.47916666666666669</v>
      </c>
      <c r="AB62" s="290">
        <v>9180</v>
      </c>
      <c r="AC62" s="479">
        <v>2.5</v>
      </c>
    </row>
    <row r="63" spans="1:31" ht="15.6">
      <c r="A63" s="411" t="s">
        <v>62</v>
      </c>
      <c r="B63" s="374"/>
      <c r="C63" s="405"/>
      <c r="D63" s="405"/>
      <c r="E63" s="370"/>
      <c r="F63" s="405"/>
      <c r="G63" s="405"/>
      <c r="H63" s="406"/>
      <c r="I63" s="405"/>
      <c r="J63" s="405"/>
      <c r="K63" s="370"/>
      <c r="L63" s="370"/>
      <c r="M63" s="370"/>
      <c r="N63" s="370"/>
      <c r="O63" s="383"/>
      <c r="P63" s="383"/>
      <c r="Q63" s="379"/>
      <c r="R63" s="379"/>
      <c r="S63" s="379"/>
      <c r="T63" s="379"/>
      <c r="U63" s="379"/>
      <c r="V63" s="523" t="s">
        <v>423</v>
      </c>
      <c r="W63" s="524">
        <v>91999906</v>
      </c>
      <c r="X63" s="525" t="s">
        <v>851</v>
      </c>
      <c r="Y63" s="525" t="s">
        <v>851</v>
      </c>
      <c r="Z63" s="292">
        <v>0.375</v>
      </c>
      <c r="AA63" s="292">
        <v>0.47916666666666669</v>
      </c>
      <c r="AB63" s="290">
        <v>9180</v>
      </c>
      <c r="AC63" s="479">
        <v>2.5</v>
      </c>
    </row>
    <row r="64" spans="1:31">
      <c r="A64" s="424" t="s">
        <v>573</v>
      </c>
      <c r="B64" s="332">
        <f>ROUND(MIN(B$122,29800000)*'New Hire'!C57,0)</f>
        <v>1547000</v>
      </c>
      <c r="C64" s="332">
        <f>ROUND(MIN(C$122,29800000)*'New Hire'!D57,0)</f>
        <v>1410500</v>
      </c>
      <c r="D64" s="332">
        <f>ROUND(MIN(D$122,29800000)*'New Hire'!E57,0)</f>
        <v>72250</v>
      </c>
      <c r="E64" s="332">
        <f>ROUND(MIN(E$122,29800000)*'New Hire'!F57,0)</f>
        <v>0</v>
      </c>
      <c r="F64" s="332">
        <f>ROUND(MIN(F$122,29800000)*'New Hire'!G57,0)</f>
        <v>0</v>
      </c>
      <c r="G64" s="332">
        <f>ROUND(MIN(G$122,29800000)*'New Hire'!H57,0)</f>
        <v>0</v>
      </c>
      <c r="H64" s="332">
        <f>ROUND(MIN(H$122,29800000)*'New Hire'!I57,0)</f>
        <v>0</v>
      </c>
      <c r="I64" s="332">
        <f>ROUND(MIN(I$122,29800000)*'New Hire'!J57,0)</f>
        <v>149000</v>
      </c>
      <c r="J64" s="332">
        <f>ROUND(MIN(J$122,29800000)*'New Hire'!K57,0)</f>
        <v>5066000</v>
      </c>
      <c r="K64" s="332">
        <f>ROUND(MIN(K$122,29800000)*'New Hire'!L57,0)</f>
        <v>0</v>
      </c>
      <c r="L64" s="332">
        <f>ROUND(MIN(L$122,29800000)*'New Hire'!M57,0)</f>
        <v>1955000</v>
      </c>
      <c r="M64" s="332">
        <f>ROUND(MIN(M$122,29800000)*'New Hire'!N57,0)</f>
        <v>0</v>
      </c>
      <c r="N64" s="332">
        <f>ROUND(MIN(N$122,29800000)*'New Hire'!O57,0)</f>
        <v>0</v>
      </c>
      <c r="O64" s="332">
        <f>ROUND(MIN(O$122,29800000)*'New Hire'!P57,0)</f>
        <v>0</v>
      </c>
      <c r="P64" s="346">
        <f>SUM(B64:O64)</f>
        <v>10199750</v>
      </c>
      <c r="Q64" s="379"/>
      <c r="R64" s="379"/>
      <c r="S64" s="379"/>
      <c r="T64" s="379"/>
      <c r="U64" s="379"/>
      <c r="V64" s="523" t="s">
        <v>423</v>
      </c>
      <c r="W64" s="524">
        <v>91999914</v>
      </c>
      <c r="X64" s="525" t="s">
        <v>849</v>
      </c>
      <c r="Y64" s="525" t="s">
        <v>849</v>
      </c>
      <c r="Z64" s="292">
        <v>0.375</v>
      </c>
      <c r="AA64" s="292">
        <v>0.47916666666666669</v>
      </c>
      <c r="AB64" s="290">
        <v>9180</v>
      </c>
      <c r="AC64" s="479">
        <v>2.5</v>
      </c>
      <c r="AD64" s="293"/>
    </row>
    <row r="65" spans="1:31">
      <c r="A65" s="445" t="s">
        <v>574</v>
      </c>
      <c r="B65" s="332">
        <f>ROUND(MIN(B$122,83600000)*'New Hire'!C60,0)</f>
        <v>91000</v>
      </c>
      <c r="C65" s="332">
        <f>ROUND(MIN(C$122,83600000)*'New Hire'!D60,0)</f>
        <v>80600</v>
      </c>
      <c r="D65" s="332">
        <f>ROUND(MIN(D$122,83600000)*'New Hire'!E60,0)</f>
        <v>144500</v>
      </c>
      <c r="E65" s="332">
        <f>ROUND(MIN(E$122,83600000)*'New Hire'!F60,0)</f>
        <v>0</v>
      </c>
      <c r="F65" s="332">
        <f>ROUND(MIN(F$122,83600000)*'New Hire'!G60,0)</f>
        <v>0</v>
      </c>
      <c r="G65" s="332">
        <f>ROUND(MIN(G$122,83600000)*'New Hire'!H60,0)</f>
        <v>0</v>
      </c>
      <c r="H65" s="332">
        <f>ROUND(MIN(H$122,83600000)*'New Hire'!I60,0)</f>
        <v>0</v>
      </c>
      <c r="I65" s="332">
        <f>ROUND(MIN(I$122,83600000)*'New Hire'!J60,0)</f>
        <v>0</v>
      </c>
      <c r="J65" s="332">
        <f>ROUND(MIN(J$122,83600000)*'New Hire'!K60,0)</f>
        <v>715000</v>
      </c>
      <c r="K65" s="332">
        <f>ROUND(MIN(K$122,83600000)*'New Hire'!L60,0)</f>
        <v>0</v>
      </c>
      <c r="L65" s="332">
        <f>ROUND(MIN(L$122,83600000)*'New Hire'!M60,0)</f>
        <v>115000</v>
      </c>
      <c r="M65" s="332">
        <f>ROUND(MIN(M$122,83600000)*'New Hire'!N60,0)</f>
        <v>0</v>
      </c>
      <c r="N65" s="332">
        <f>ROUND(MIN(N$122,83600000)*'New Hire'!O60,0)</f>
        <v>0</v>
      </c>
      <c r="O65" s="332">
        <f>ROUND(MIN(O$122,83600000)*'New Hire'!P60,0)</f>
        <v>0</v>
      </c>
      <c r="P65" s="346">
        <f>SUM(B65:O65)</f>
        <v>1146100</v>
      </c>
      <c r="Q65" s="379"/>
      <c r="R65" s="379"/>
      <c r="S65" s="379"/>
      <c r="T65" s="379"/>
      <c r="U65" s="379"/>
      <c r="V65" s="523" t="s">
        <v>423</v>
      </c>
      <c r="W65" s="524">
        <v>91999914</v>
      </c>
      <c r="X65" s="526" t="s">
        <v>852</v>
      </c>
      <c r="Y65" s="526" t="s">
        <v>852</v>
      </c>
      <c r="Z65" s="292">
        <v>0.375</v>
      </c>
      <c r="AA65" s="292">
        <v>0.47916666666666669</v>
      </c>
      <c r="AB65" s="290">
        <v>9180</v>
      </c>
      <c r="AC65" s="479">
        <v>2.5</v>
      </c>
    </row>
    <row r="66" spans="1:31">
      <c r="A66" s="445" t="s">
        <v>575</v>
      </c>
      <c r="B66" s="332">
        <f>ROUND(MIN(B$122,29800000)*'New Hire'!C63,0)</f>
        <v>273000</v>
      </c>
      <c r="C66" s="332">
        <f>ROUND(MIN(C$122,29800000)*'New Hire'!D63,0)</f>
        <v>241800</v>
      </c>
      <c r="D66" s="332">
        <f>ROUND(MIN(D$122,29800000)*'New Hire'!E63,0)</f>
        <v>433500</v>
      </c>
      <c r="E66" s="332">
        <f>ROUND(MIN(E$122,29800000)*'New Hire'!F63,0)</f>
        <v>0</v>
      </c>
      <c r="F66" s="332">
        <f>ROUND(MIN(F$122,29800000)*'New Hire'!G63,0)</f>
        <v>0</v>
      </c>
      <c r="G66" s="332">
        <f>ROUND(MIN(G$122,29800000)*'New Hire'!H63,0)</f>
        <v>0</v>
      </c>
      <c r="H66" s="332">
        <f>ROUND(MIN(H$122,29800000)*'New Hire'!I63,0)</f>
        <v>0</v>
      </c>
      <c r="I66" s="332">
        <f>ROUND(MIN(I$122,29800000)*'New Hire'!J63,0)</f>
        <v>894000</v>
      </c>
      <c r="J66" s="332">
        <f>ROUND(MIN(J$122,29800000)*'New Hire'!K63,0)</f>
        <v>894000</v>
      </c>
      <c r="K66" s="332">
        <f>ROUND(MIN(K$122,29800000)*'New Hire'!L63,0)</f>
        <v>0</v>
      </c>
      <c r="L66" s="332">
        <f>ROUND(MIN(L$122,29800000)*'New Hire'!M63,0)</f>
        <v>345000</v>
      </c>
      <c r="M66" s="332">
        <f>ROUND(MIN(M$122,29800000)*'New Hire'!N63,0)</f>
        <v>0</v>
      </c>
      <c r="N66" s="332">
        <f>ROUND(MIN(N$122,29800000)*'New Hire'!O63,0)</f>
        <v>0</v>
      </c>
      <c r="O66" s="332">
        <f>ROUND(MIN(O$122,29800000)*'New Hire'!P63,0)</f>
        <v>0</v>
      </c>
      <c r="P66" s="346">
        <f>SUM(B66:O66)</f>
        <v>3081300</v>
      </c>
      <c r="Q66" s="341"/>
      <c r="R66" s="341"/>
      <c r="S66" s="341"/>
      <c r="T66" s="341"/>
      <c r="U66" s="341"/>
      <c r="V66" s="514" t="s">
        <v>423</v>
      </c>
      <c r="W66" s="518">
        <v>91999912</v>
      </c>
      <c r="X66" s="444" t="s">
        <v>853</v>
      </c>
      <c r="Y66" s="444" t="s">
        <v>853</v>
      </c>
      <c r="Z66" s="515">
        <v>0.33333333333333331</v>
      </c>
      <c r="AA66" s="515">
        <v>0.75</v>
      </c>
      <c r="AB66" s="516">
        <v>9000</v>
      </c>
      <c r="AC66" s="517">
        <v>10</v>
      </c>
      <c r="AD66" s="293"/>
    </row>
    <row r="67" spans="1:31">
      <c r="A67" s="445" t="s">
        <v>1131</v>
      </c>
      <c r="B67" s="332">
        <f t="shared" ref="B67:O67" si="22">ROUND(MIN(B122,29800000)*2%,0)</f>
        <v>182000</v>
      </c>
      <c r="C67" s="332">
        <f t="shared" si="22"/>
        <v>161200</v>
      </c>
      <c r="D67" s="332">
        <f t="shared" si="22"/>
        <v>289000</v>
      </c>
      <c r="E67" s="332">
        <f t="shared" si="22"/>
        <v>0</v>
      </c>
      <c r="F67" s="332">
        <f t="shared" si="22"/>
        <v>320000</v>
      </c>
      <c r="G67" s="332">
        <f t="shared" si="22"/>
        <v>0</v>
      </c>
      <c r="H67" s="332">
        <f t="shared" si="22"/>
        <v>0</v>
      </c>
      <c r="I67" s="332">
        <f t="shared" si="22"/>
        <v>596000</v>
      </c>
      <c r="J67" s="332">
        <f t="shared" si="22"/>
        <v>596000</v>
      </c>
      <c r="K67" s="332">
        <f t="shared" si="22"/>
        <v>260000</v>
      </c>
      <c r="L67" s="332">
        <f t="shared" si="22"/>
        <v>230000</v>
      </c>
      <c r="M67" s="332">
        <f t="shared" si="22"/>
        <v>210000</v>
      </c>
      <c r="N67" s="332">
        <f t="shared" si="22"/>
        <v>217000</v>
      </c>
      <c r="O67" s="400">
        <f t="shared" si="22"/>
        <v>0</v>
      </c>
      <c r="P67" s="355">
        <f t="shared" ref="P67" si="23">SUM(B67:O67)-J67</f>
        <v>2465200</v>
      </c>
      <c r="Q67" s="379"/>
      <c r="R67" s="379"/>
      <c r="S67" s="379"/>
      <c r="T67" s="379"/>
      <c r="U67" s="379"/>
      <c r="V67" s="514" t="s">
        <v>423</v>
      </c>
      <c r="W67" s="518">
        <v>91999912</v>
      </c>
      <c r="X67" s="444" t="s">
        <v>854</v>
      </c>
      <c r="Y67" s="444" t="s">
        <v>854</v>
      </c>
      <c r="Z67" s="515">
        <v>0.33333333333333331</v>
      </c>
      <c r="AA67" s="515">
        <v>0.75</v>
      </c>
      <c r="AB67" s="516">
        <v>9000</v>
      </c>
      <c r="AC67" s="517">
        <v>10</v>
      </c>
      <c r="AD67" s="293"/>
    </row>
    <row r="68" spans="1:31">
      <c r="A68" s="412"/>
      <c r="B68" s="331"/>
      <c r="C68" s="332"/>
      <c r="D68" s="332"/>
      <c r="E68" s="340"/>
      <c r="F68" s="332"/>
      <c r="G68" s="332"/>
      <c r="H68" s="332"/>
      <c r="I68" s="332"/>
      <c r="J68" s="332"/>
      <c r="K68" s="340"/>
      <c r="L68" s="340"/>
      <c r="M68" s="340"/>
      <c r="N68" s="340"/>
      <c r="O68" s="401"/>
      <c r="P68" s="346"/>
      <c r="Q68" s="341"/>
      <c r="R68" s="341"/>
      <c r="S68" s="341"/>
      <c r="T68" s="341"/>
      <c r="U68" s="341"/>
      <c r="V68" s="514" t="s">
        <v>423</v>
      </c>
      <c r="W68" s="518">
        <v>91999912</v>
      </c>
      <c r="X68" s="444" t="s">
        <v>855</v>
      </c>
      <c r="Y68" s="444" t="s">
        <v>855</v>
      </c>
      <c r="Z68" s="515">
        <v>0.33333333333333331</v>
      </c>
      <c r="AA68" s="515">
        <v>0.75</v>
      </c>
      <c r="AB68" s="516">
        <v>9000</v>
      </c>
      <c r="AC68" s="517">
        <v>10</v>
      </c>
    </row>
    <row r="69" spans="1:31" ht="15.6">
      <c r="A69" s="411" t="s">
        <v>475</v>
      </c>
      <c r="B69" s="331"/>
      <c r="C69" s="332"/>
      <c r="D69" s="332"/>
      <c r="E69" s="340"/>
      <c r="F69" s="332"/>
      <c r="G69" s="332"/>
      <c r="H69" s="332"/>
      <c r="I69" s="332"/>
      <c r="J69" s="332"/>
      <c r="K69" s="340"/>
      <c r="L69" s="340"/>
      <c r="M69" s="340"/>
      <c r="N69" s="340"/>
      <c r="O69" s="401"/>
      <c r="P69" s="346"/>
      <c r="Q69" s="341"/>
      <c r="R69" s="341"/>
      <c r="S69" s="341"/>
      <c r="T69" s="341"/>
      <c r="U69" s="341"/>
      <c r="V69" s="33"/>
      <c r="W69" s="45"/>
      <c r="X69" s="13"/>
      <c r="Y69" s="13"/>
      <c r="Z69" s="13"/>
      <c r="AA69" s="13"/>
      <c r="AB69" s="13"/>
      <c r="AC69" s="18"/>
    </row>
    <row r="70" spans="1:31">
      <c r="A70" s="445" t="s">
        <v>476</v>
      </c>
      <c r="B70" s="332">
        <f>IF(OR(B11="1",B11="P"),ROUND(B163*B113,0),0)+'UAT9-Sep'!B70</f>
        <v>4869112</v>
      </c>
      <c r="C70" s="332">
        <f>IF(OR(C11="1",C11="P"),ROUND(C163*C113,0),0)+'UAT9-Sep'!C70</f>
        <v>4046656</v>
      </c>
      <c r="D70" s="332">
        <f>IF(OR(D11="1",D11="P"),ROUND(D163*D113,0),0)+'UAT9-Sep'!D70</f>
        <v>0</v>
      </c>
      <c r="E70" s="332">
        <f>IF(OR(E11="1",E11="P"),ROUND(E163*E113,0),0)+'UAT9-Sep'!E70</f>
        <v>3547893</v>
      </c>
      <c r="F70" s="332">
        <f>IF(OR(F11="1",F11="P"),ROUND(F163*F113,0),0)+'UAT9-Sep'!F70</f>
        <v>0</v>
      </c>
      <c r="G70" s="332">
        <f>IF(OR(G11="1",G11="P"),ROUND(G163*G113,0),0)+'UAT9-Sep'!G70</f>
        <v>0</v>
      </c>
      <c r="H70" s="332">
        <f>IF(OR(H11="1",H11="P"),ROUND(H163*H113,0),0)+'UAT9-Sep'!H70</f>
        <v>0</v>
      </c>
      <c r="I70" s="332">
        <f>IF(OR(I11="1",I11="P"),ROUND(I163*I113,0),0)+'UAT9-Sep'!I70</f>
        <v>0</v>
      </c>
      <c r="J70" s="332">
        <f>IF(OR(J11="1",J11="P"),ROUND(J163*J113,0),0)+'UAT9-Sep'!J70</f>
        <v>37810690</v>
      </c>
      <c r="K70" s="332">
        <f>IF(OR(K11="1",K11="P"),ROUND(K163*K113,0),0)+'UAT9-Sep'!K70</f>
        <v>7465678</v>
      </c>
      <c r="L70" s="332">
        <f>IF(OR(L11="1",L11="P"),ROUND(L163*L113,0),0)+'UAT9-Sep'!L70</f>
        <v>42239816</v>
      </c>
      <c r="M70" s="332">
        <f>IF(OR(M11="1",M11="P"),ROUND(M163*M113,0),0)+'UAT9-Sep'!M70</f>
        <v>0</v>
      </c>
      <c r="N70" s="332">
        <f>IF(OR(N11="1",N11="P"),ROUND(N163*N113,0),0)+'UAT9-Sep'!N70</f>
        <v>0</v>
      </c>
      <c r="O70" s="332">
        <f>IF(OR(O11="1",O11="P"),ROUND(O163*O113,0),0)+'UAT9-Sep'!O70</f>
        <v>1517242</v>
      </c>
      <c r="P70" s="346">
        <f>SUM(B70:O70)</f>
        <v>101497087</v>
      </c>
      <c r="Q70" s="341"/>
      <c r="R70" s="341"/>
      <c r="S70" s="341"/>
      <c r="T70" s="341"/>
      <c r="U70" s="341"/>
      <c r="V70" s="33"/>
      <c r="W70" s="45"/>
      <c r="X70" s="13"/>
      <c r="Y70" s="13"/>
      <c r="Z70" s="13"/>
      <c r="AA70" s="13"/>
      <c r="AB70" s="13"/>
      <c r="AC70" s="18"/>
    </row>
    <row r="71" spans="1:31">
      <c r="A71" s="445" t="s">
        <v>484</v>
      </c>
      <c r="B71" s="617">
        <f>IF('New Hire'!C41&lt;'New Hire'!$Q$40,CEILING((NETWORKDAYS('New Hire'!C41,'New Hire'!$Q$40)+B179)/261,0.5),CEILING(B179/261,0.5))</f>
        <v>0</v>
      </c>
      <c r="C71" s="617">
        <f>IF('New Hire'!D41&lt;'New Hire'!$Q$40,CEILING((NETWORKDAYS('New Hire'!D41,'New Hire'!$Q$40)+C179)/261,0.5),CEILING(C179/261,0.5))</f>
        <v>3</v>
      </c>
      <c r="D71" s="617">
        <f>IF('New Hire'!E41&lt;'New Hire'!$Q$40,CEILING((NETWORKDAYS('New Hire'!E41,'New Hire'!$Q$40)+D179)/261,0.5),CEILING(D179/261,0.5))</f>
        <v>0</v>
      </c>
      <c r="E71" s="617">
        <f>IF('New Hire'!F41&lt;'New Hire'!$Q$40,CEILING((NETWORKDAYS('New Hire'!F41,'New Hire'!$Q$40)+E179)/261,0.5),CEILING(E179/261,0.5))</f>
        <v>0.5</v>
      </c>
      <c r="F71" s="617">
        <f>IF('New Hire'!G41&lt;'New Hire'!$Q$40,CEILING((NETWORKDAYS('New Hire'!G41,'New Hire'!$Q$40)+F179)/261,0.5),CEILING(F179/261,0.5))</f>
        <v>0</v>
      </c>
      <c r="G71" s="617">
        <f>IF('New Hire'!H41&lt;'New Hire'!$Q$40,CEILING((NETWORKDAYS('New Hire'!H41,'New Hire'!$Q$40)+G179)/261,0.5),CEILING(G179/261,0.5))</f>
        <v>0</v>
      </c>
      <c r="H71" s="617">
        <f>IF('New Hire'!I41&lt;'New Hire'!$Q$40,CEILING((NETWORKDAYS('New Hire'!I41,'New Hire'!$Q$40)+H179)/261,0.5),CEILING(H179/261,0.5))</f>
        <v>4.5</v>
      </c>
      <c r="I71" s="617">
        <f>IF('New Hire'!J41&lt;'New Hire'!$Q$40,CEILING((NETWORKDAYS('New Hire'!J41,'New Hire'!$Q$40)+I179)/261,0.5),CEILING(I179/261,0.5))</f>
        <v>0</v>
      </c>
      <c r="J71" s="617">
        <f>IF('New Hire'!K41&lt;'New Hire'!$Q$40,CEILING((NETWORKDAYS('New Hire'!K41,'New Hire'!$Q$40)+J179)/261,0.5),CEILING(J179/261,0.5))</f>
        <v>0</v>
      </c>
      <c r="K71" s="617">
        <f>IF('New Hire'!L41&lt;'New Hire'!$Q$40,CEILING((NETWORKDAYS('New Hire'!L41,'New Hire'!$Q$40)+K179)/261,0.5),CEILING(K179/261,0.5))</f>
        <v>0</v>
      </c>
      <c r="L71" s="617">
        <f>IF('New Hire'!M41&lt;'New Hire'!$Q$40,CEILING((NETWORKDAYS('New Hire'!M41,'New Hire'!$Q$40)+L179)/261,0.5),CEILING(L179/261,0.5))</f>
        <v>0</v>
      </c>
      <c r="M71" s="617">
        <f>IF('New Hire'!N41&lt;'New Hire'!$Q$40,CEILING((NETWORKDAYS('New Hire'!N41,'New Hire'!$Q$40)+M179)/261,0.5),CEILING(M179/261,0.5))</f>
        <v>0</v>
      </c>
      <c r="N71" s="617">
        <f>IF('New Hire'!O41&lt;'New Hire'!$Q$40,CEILING((NETWORKDAYS('New Hire'!O41,'New Hire'!$Q$40)+N179)/261,0.5),CEILING(N179/261,0.5))</f>
        <v>1.5</v>
      </c>
      <c r="O71" s="619">
        <f>IF('New Hire'!P41&lt;'New Hire'!$Q$40,CEILING((NETWORKDAYS('New Hire'!P41,'New Hire'!$Q$40)+O179)/261,0.5),CEILING(O179/261,0.5))</f>
        <v>0</v>
      </c>
      <c r="P71" s="618">
        <f>SUM(B71:O71)</f>
        <v>9.5</v>
      </c>
      <c r="Q71" s="341"/>
      <c r="R71" s="341"/>
      <c r="S71" s="341"/>
      <c r="T71" s="341"/>
      <c r="U71" s="341"/>
      <c r="V71" s="32"/>
      <c r="W71" s="44"/>
      <c r="X71" s="13"/>
      <c r="Y71" s="13"/>
      <c r="Z71" s="13"/>
      <c r="AA71" s="13"/>
      <c r="AB71" s="13"/>
      <c r="AC71" s="18"/>
    </row>
    <row r="72" spans="1:31">
      <c r="A72" s="445" t="s">
        <v>587</v>
      </c>
      <c r="B72" s="332">
        <f>B123+'UAT9-Sep'!B72-'UAT4-Apr'!B95</f>
        <v>65460000</v>
      </c>
      <c r="C72" s="332">
        <f>C123+'UAT9-Sep'!C72-'UAT4-Apr'!C95</f>
        <v>59610000</v>
      </c>
      <c r="D72" s="332">
        <f>D123</f>
        <v>14450000</v>
      </c>
      <c r="E72" s="332">
        <f>E123+'UAT9-Sep'!E72-'UAT4-Apr'!E95</f>
        <v>76393333</v>
      </c>
      <c r="F72" s="332">
        <f>F123+'UAT9-Sep'!F72-'UAT4-Apr'!F95</f>
        <v>107460000</v>
      </c>
      <c r="G72" s="332">
        <f>G123+'UAT9-Sep'!G72-'UAT4-Apr'!G95</f>
        <v>0</v>
      </c>
      <c r="H72" s="332">
        <f>H123+'UAT9-Sep'!H72-'UAT4-Apr'!H95</f>
        <v>721675500</v>
      </c>
      <c r="I72" s="332">
        <f>I123+'UAT9-Sep'!I72-'UAT4-Apr'!I95</f>
        <v>547638000</v>
      </c>
      <c r="J72" s="332">
        <f>J123+'UAT9-Sep'!J72-'UAT4-Apr'!J95</f>
        <v>435960000</v>
      </c>
      <c r="K72" s="332">
        <f>K123+'UAT9-Sep'!K72-'UAT4-Apr'!K95</f>
        <v>88860000</v>
      </c>
      <c r="L72" s="332">
        <f>L123+'UAT9-Sep'!L72-'UAT4-Apr'!L95</f>
        <v>160960000</v>
      </c>
      <c r="M72" s="332">
        <f>M123+'UAT9-Sep'!M72-'UAT4-Apr'!M95</f>
        <v>73260000</v>
      </c>
      <c r="N72" s="332">
        <f>N123+'UAT9-Sep'!N72-'UAT4-Apr'!N95</f>
        <v>76710000</v>
      </c>
      <c r="O72" s="400">
        <f>O123+'UAT9-Sep'!O72-'UAT4-Apr'!O95</f>
        <v>18000000</v>
      </c>
      <c r="P72" s="346">
        <f>SUM(B72:O72)</f>
        <v>2446436833</v>
      </c>
      <c r="Q72" s="481"/>
      <c r="R72" s="481"/>
      <c r="S72" s="379"/>
      <c r="T72" s="379"/>
      <c r="U72" s="379"/>
      <c r="V72" s="24" t="s">
        <v>57</v>
      </c>
      <c r="W72" s="37" t="s">
        <v>67</v>
      </c>
      <c r="X72" s="37" t="s">
        <v>69</v>
      </c>
      <c r="Y72" s="37" t="s">
        <v>70</v>
      </c>
      <c r="Z72" s="62" t="s">
        <v>425</v>
      </c>
      <c r="AA72" s="363" t="s">
        <v>426</v>
      </c>
      <c r="AB72" s="37" t="s">
        <v>56</v>
      </c>
      <c r="AC72" s="38"/>
    </row>
    <row r="73" spans="1:31">
      <c r="A73" s="445" t="s">
        <v>1207</v>
      </c>
      <c r="B73" s="7">
        <v>8</v>
      </c>
      <c r="C73" s="7"/>
      <c r="D73" s="7"/>
      <c r="E73" s="7">
        <v>15</v>
      </c>
      <c r="F73" s="7"/>
      <c r="G73" s="7"/>
      <c r="H73" s="7"/>
      <c r="I73" s="7"/>
      <c r="J73" s="7">
        <v>8</v>
      </c>
      <c r="K73" s="7"/>
      <c r="L73" s="7"/>
      <c r="M73" s="7">
        <v>150</v>
      </c>
      <c r="N73" s="7">
        <v>10</v>
      </c>
      <c r="O73" s="12"/>
      <c r="P73" s="478">
        <f>SUM(B73:O73)</f>
        <v>191</v>
      </c>
      <c r="V73" s="514" t="s">
        <v>824</v>
      </c>
      <c r="W73" s="545">
        <v>91999904</v>
      </c>
      <c r="X73" s="546">
        <v>43709</v>
      </c>
      <c r="Y73" s="546">
        <v>43738</v>
      </c>
      <c r="Z73" s="515"/>
      <c r="AA73" s="515"/>
      <c r="AB73" s="516">
        <v>3042</v>
      </c>
      <c r="AC73" s="517">
        <v>21</v>
      </c>
    </row>
    <row r="74" spans="1:31">
      <c r="A74" s="412"/>
      <c r="B74" s="331"/>
      <c r="C74" s="332"/>
      <c r="D74" s="332"/>
      <c r="E74" s="340"/>
      <c r="F74" s="332"/>
      <c r="G74" s="332"/>
      <c r="H74" s="332"/>
      <c r="I74" s="332"/>
      <c r="J74" s="332"/>
      <c r="K74" s="340"/>
      <c r="L74" s="340"/>
      <c r="M74" s="340"/>
      <c r="N74" s="340"/>
      <c r="O74" s="401"/>
      <c r="P74" s="346"/>
      <c r="Q74" s="341"/>
      <c r="R74" s="482"/>
      <c r="S74" s="341"/>
      <c r="T74" s="341"/>
      <c r="U74" s="341"/>
      <c r="V74" s="514" t="s">
        <v>824</v>
      </c>
      <c r="W74" s="545">
        <v>91999907</v>
      </c>
      <c r="X74" s="546">
        <v>43709</v>
      </c>
      <c r="Y74" s="546">
        <v>43737</v>
      </c>
      <c r="Z74" s="515"/>
      <c r="AA74" s="515"/>
      <c r="AB74" s="516">
        <v>3042</v>
      </c>
      <c r="AC74" s="517">
        <v>19</v>
      </c>
    </row>
    <row r="75" spans="1:31" ht="15.6">
      <c r="A75" s="411" t="s">
        <v>889</v>
      </c>
      <c r="B75" s="480"/>
      <c r="C75" s="480"/>
      <c r="D75" s="480"/>
      <c r="E75" s="480"/>
      <c r="F75" s="480"/>
      <c r="G75" s="480"/>
      <c r="H75" s="480"/>
      <c r="I75" s="480"/>
      <c r="J75" s="590"/>
      <c r="K75" s="480"/>
      <c r="L75" s="480"/>
      <c r="M75" s="480"/>
      <c r="N75" s="480"/>
      <c r="O75" s="588"/>
      <c r="P75" s="346"/>
      <c r="Q75" s="341"/>
      <c r="R75" s="341"/>
      <c r="S75" s="341"/>
      <c r="T75" s="341"/>
      <c r="U75" s="341"/>
      <c r="V75" s="33"/>
      <c r="W75" s="45"/>
      <c r="X75" s="13"/>
      <c r="Y75" s="13"/>
      <c r="Z75" s="13"/>
      <c r="AA75" s="13"/>
      <c r="AB75" s="13"/>
      <c r="AC75" s="18"/>
    </row>
    <row r="76" spans="1:31">
      <c r="A76" s="474" t="s">
        <v>885</v>
      </c>
      <c r="B76" s="340">
        <f t="shared" ref="B76:O76" si="24">B108*B151</f>
        <v>3190415</v>
      </c>
      <c r="C76" s="340">
        <f t="shared" si="24"/>
        <v>-1573836</v>
      </c>
      <c r="D76" s="340">
        <f t="shared" si="24"/>
        <v>1269240</v>
      </c>
      <c r="E76" s="340">
        <f t="shared" si="24"/>
        <v>5076960</v>
      </c>
      <c r="F76" s="340">
        <f t="shared" si="24"/>
        <v>5907712</v>
      </c>
      <c r="G76" s="340">
        <f t="shared" si="24"/>
        <v>0</v>
      </c>
      <c r="H76" s="340">
        <f t="shared" si="24"/>
        <v>29452520</v>
      </c>
      <c r="I76" s="340">
        <f t="shared" si="24"/>
        <v>0</v>
      </c>
      <c r="J76" s="340">
        <f t="shared" si="24"/>
        <v>6980776</v>
      </c>
      <c r="K76" s="340">
        <f t="shared" si="24"/>
        <v>4615360</v>
      </c>
      <c r="L76" s="340">
        <f t="shared" si="24"/>
        <v>5307680</v>
      </c>
      <c r="M76" s="340">
        <f t="shared" si="24"/>
        <v>3109645</v>
      </c>
      <c r="N76" s="340">
        <f t="shared" si="24"/>
        <v>3553858</v>
      </c>
      <c r="O76" s="401">
        <f t="shared" si="24"/>
        <v>0</v>
      </c>
      <c r="P76" s="346">
        <f t="shared" ref="P76:P80" si="25">SUM(B76:O76)-J76</f>
        <v>59909554</v>
      </c>
      <c r="Q76" s="341"/>
      <c r="R76" s="341"/>
      <c r="S76" s="341"/>
      <c r="T76" s="341"/>
      <c r="U76" s="341"/>
      <c r="V76" s="33"/>
      <c r="W76" s="45"/>
      <c r="X76" s="13"/>
      <c r="Y76" s="13"/>
      <c r="Z76" s="13"/>
      <c r="AA76" s="13"/>
      <c r="AB76" s="13"/>
      <c r="AC76" s="18"/>
    </row>
    <row r="77" spans="1:31">
      <c r="A77" s="474" t="s">
        <v>886</v>
      </c>
      <c r="B77" s="340">
        <f t="shared" ref="B77:O77" si="26">B108*B150</f>
        <v>6057750</v>
      </c>
      <c r="C77" s="340">
        <f t="shared" si="26"/>
        <v>2432292</v>
      </c>
      <c r="D77" s="340">
        <f t="shared" si="26"/>
        <v>2538480</v>
      </c>
      <c r="E77" s="340">
        <f t="shared" si="26"/>
        <v>10153920</v>
      </c>
      <c r="F77" s="340">
        <f t="shared" si="26"/>
        <v>11815424</v>
      </c>
      <c r="G77" s="340">
        <f t="shared" si="26"/>
        <v>0</v>
      </c>
      <c r="H77" s="340">
        <f t="shared" si="26"/>
        <v>58905040</v>
      </c>
      <c r="I77" s="340">
        <f t="shared" si="26"/>
        <v>0</v>
      </c>
      <c r="J77" s="340">
        <f t="shared" si="26"/>
        <v>13961552</v>
      </c>
      <c r="K77" s="340">
        <f t="shared" si="26"/>
        <v>9230720</v>
      </c>
      <c r="L77" s="340">
        <f t="shared" si="26"/>
        <v>10615360</v>
      </c>
      <c r="M77" s="340">
        <f t="shared" si="26"/>
        <v>6259675</v>
      </c>
      <c r="N77" s="340">
        <f t="shared" si="26"/>
        <v>7153870</v>
      </c>
      <c r="O77" s="401">
        <f t="shared" si="26"/>
        <v>0</v>
      </c>
      <c r="P77" s="346">
        <f t="shared" si="25"/>
        <v>125162531</v>
      </c>
      <c r="Q77" s="341"/>
      <c r="R77" s="341"/>
      <c r="S77" s="341"/>
      <c r="T77" s="341"/>
      <c r="U77" s="341"/>
      <c r="V77" s="32"/>
      <c r="W77" s="44"/>
      <c r="X77" s="13"/>
      <c r="Y77" s="13"/>
      <c r="Z77" s="13"/>
      <c r="AA77" s="13"/>
      <c r="AB77" s="13"/>
      <c r="AC77" s="18"/>
    </row>
    <row r="78" spans="1:31">
      <c r="A78" s="474" t="s">
        <v>928</v>
      </c>
      <c r="B78" s="340" t="e">
        <f>IF(OR(B19="A",B19="B"),ROUND(B176/12,0),ROUND(B176*$B$4/12,0))+'UAT9-Sep'!B78</f>
        <v>#REF!</v>
      </c>
      <c r="C78" s="340" t="e">
        <f>IF(OR(C19="A",C19="B"),ROUND(C176/12,0),ROUND(C176*$B$4/12,0))+'UAT9-Sep'!C78</f>
        <v>#REF!</v>
      </c>
      <c r="D78" s="340">
        <f>IF(OR(D19="A",D19="B"),ROUND(D176/12,0),ROUND(D176*$B$4/12,0))+'UAT9-Sep'!D78</f>
        <v>916667</v>
      </c>
      <c r="E78" s="340" t="e">
        <f>IF(OR(E19="A",E19="B"),ROUND(E176/12,0),ROUND(E176*$B$4/12,0))+'UAT9-Sep'!E78</f>
        <v>#REF!</v>
      </c>
      <c r="F78" s="340" t="e">
        <f>IF(OR(F19="A",F19="B"),ROUND(F176/12,0),ROUND(F176*$B$4/12,0))+'UAT9-Sep'!F78</f>
        <v>#REF!</v>
      </c>
      <c r="G78" s="340" t="e">
        <f>IF(OR(G19="A",G19="B"),ROUND(G176/12,0),ROUND(G176*$B$4/12,0))+'UAT9-Sep'!G78</f>
        <v>#REF!</v>
      </c>
      <c r="H78" s="340" t="e">
        <f>IF(OR(H19="A",H19="B"),ROUND(H176/12,0),ROUND(H176*$B$4/12,0))+'UAT9-Sep'!H78</f>
        <v>#REF!</v>
      </c>
      <c r="I78" s="340" t="e">
        <f>IF(OR(I19="A",I19="B"),ROUND(I176/12,0),ROUND(I176*$B$4/12,0))+'UAT9-Sep'!I78</f>
        <v>#REF!</v>
      </c>
      <c r="J78" s="340" t="e">
        <f>IF(OR(J19="A",J19="B"),ROUND(J176/12,0),ROUND(J176*$B$4/12,0))+'UAT9-Sep'!J78</f>
        <v>#REF!</v>
      </c>
      <c r="K78" s="340" t="e">
        <f>IF(OR(K19="A",K19="B"),ROUND(K176/12,0),ROUND(K176*$B$4/12,0))+'UAT9-Sep'!K78</f>
        <v>#REF!</v>
      </c>
      <c r="L78" s="340" t="e">
        <f>IF(OR(L19="A",L19="B"),ROUND(L176/12,0),ROUND(L176*$B$4/12,0))+'UAT9-Sep'!L78</f>
        <v>#REF!</v>
      </c>
      <c r="M78" s="340" t="e">
        <f>IF(OR(M19="A",M19="B"),ROUND(M176/12,0),ROUND(M176*$B$4/12,0))+'UAT9-Sep'!M78</f>
        <v>#REF!</v>
      </c>
      <c r="N78" s="340" t="e">
        <f>IF(OR(N19="A",N19="B"),ROUND(N176/12,0),ROUND(N176*$B$4/12,0))+'UAT9-Sep'!N78</f>
        <v>#REF!</v>
      </c>
      <c r="O78" s="401" t="e">
        <f>IF(OR(O19="A",O19="B"),ROUND(O176/12,0),ROUND(O176*$B$4/12,0))+'UAT9-Sep'!O78</f>
        <v>#REF!</v>
      </c>
      <c r="P78" s="346" t="e">
        <f t="shared" si="25"/>
        <v>#REF!</v>
      </c>
      <c r="Q78" s="481"/>
      <c r="R78" s="481"/>
      <c r="S78" s="379"/>
      <c r="T78" s="379"/>
      <c r="U78" s="379"/>
    </row>
    <row r="79" spans="1:31" s="5" customFormat="1">
      <c r="A79" s="474" t="s">
        <v>887</v>
      </c>
      <c r="B79" s="340"/>
      <c r="C79" s="340">
        <f>ROUND((C163+C169+C170)/12*AB39*C16/261,0)</f>
        <v>3460</v>
      </c>
      <c r="D79" s="340"/>
      <c r="E79" s="340"/>
      <c r="F79" s="340"/>
      <c r="G79" s="340"/>
      <c r="H79" s="340">
        <f>ROUND((H163*B4+H169+H170)/12*AB40*H16/261,0)</f>
        <v>524854</v>
      </c>
      <c r="I79" s="340"/>
      <c r="J79" s="453"/>
      <c r="K79" s="340"/>
      <c r="L79" s="340"/>
      <c r="M79" s="340"/>
      <c r="N79" s="340"/>
      <c r="O79" s="401"/>
      <c r="P79" s="346">
        <f t="shared" si="25"/>
        <v>528314</v>
      </c>
      <c r="Q79" s="341"/>
      <c r="R79" s="341"/>
      <c r="S79" s="341"/>
      <c r="T79" s="341"/>
      <c r="U79" s="341"/>
      <c r="AD79"/>
      <c r="AE79"/>
    </row>
    <row r="80" spans="1:31" s="5" customFormat="1">
      <c r="A80" s="474" t="s">
        <v>888</v>
      </c>
      <c r="B80" s="340">
        <f t="shared" ref="B80:O80" si="27">IF(OR(B19="A",B19="B"),ROUND(B71*B163*50%,0),ROUND(B71*B163*$B$4*50%,0))</f>
        <v>0</v>
      </c>
      <c r="C80" s="340">
        <f t="shared" si="27"/>
        <v>9300000</v>
      </c>
      <c r="D80" s="340">
        <f t="shared" si="27"/>
        <v>0</v>
      </c>
      <c r="E80" s="340">
        <f t="shared" si="27"/>
        <v>2750000</v>
      </c>
      <c r="F80" s="340">
        <f t="shared" si="27"/>
        <v>0</v>
      </c>
      <c r="G80" s="340">
        <f t="shared" si="27"/>
        <v>0</v>
      </c>
      <c r="H80" s="340">
        <f t="shared" si="27"/>
        <v>287161875</v>
      </c>
      <c r="I80" s="340">
        <f t="shared" si="27"/>
        <v>0</v>
      </c>
      <c r="J80" s="340">
        <f t="shared" si="27"/>
        <v>0</v>
      </c>
      <c r="K80" s="340">
        <f t="shared" si="27"/>
        <v>0</v>
      </c>
      <c r="L80" s="340">
        <f t="shared" si="27"/>
        <v>0</v>
      </c>
      <c r="M80" s="340">
        <f t="shared" si="27"/>
        <v>0</v>
      </c>
      <c r="N80" s="340">
        <f t="shared" si="27"/>
        <v>6000000</v>
      </c>
      <c r="O80" s="401">
        <f t="shared" si="27"/>
        <v>0</v>
      </c>
      <c r="P80" s="346">
        <f t="shared" si="25"/>
        <v>305211875</v>
      </c>
      <c r="Q80" s="341"/>
      <c r="R80" s="341"/>
      <c r="S80" s="341"/>
      <c r="T80" s="341"/>
      <c r="U80" s="341"/>
      <c r="AD80"/>
      <c r="AE80"/>
    </row>
    <row r="81" spans="1:31" s="5" customFormat="1">
      <c r="A81" s="474"/>
      <c r="B81" s="340"/>
      <c r="C81" s="340"/>
      <c r="D81" s="340"/>
      <c r="E81" s="340"/>
      <c r="F81" s="340"/>
      <c r="G81" s="340"/>
      <c r="H81" s="340"/>
      <c r="I81" s="340"/>
      <c r="J81" s="340"/>
      <c r="K81" s="340"/>
      <c r="L81" s="340"/>
      <c r="M81" s="340"/>
      <c r="N81" s="340"/>
      <c r="O81" s="401"/>
      <c r="P81" s="346"/>
      <c r="Q81" s="341"/>
      <c r="R81" s="341"/>
      <c r="S81" s="341"/>
      <c r="T81" s="341"/>
      <c r="U81" s="341"/>
      <c r="AD81"/>
      <c r="AE81"/>
    </row>
    <row r="82" spans="1:31" s="5" customFormat="1" ht="15.6">
      <c r="A82" s="411" t="s">
        <v>704</v>
      </c>
      <c r="B82" s="331"/>
      <c r="C82" s="332"/>
      <c r="D82" s="332"/>
      <c r="E82" s="340"/>
      <c r="F82" s="332"/>
      <c r="G82" s="332"/>
      <c r="H82" s="332"/>
      <c r="I82" s="332"/>
      <c r="J82" s="332"/>
      <c r="K82" s="340"/>
      <c r="L82" s="340"/>
      <c r="M82" s="340"/>
      <c r="N82" s="340"/>
      <c r="O82" s="401"/>
      <c r="P82" s="346"/>
      <c r="Q82" s="341"/>
      <c r="R82" s="482"/>
      <c r="S82" s="341"/>
      <c r="T82" s="341"/>
      <c r="U82" s="341"/>
      <c r="AD82"/>
      <c r="AE82"/>
    </row>
    <row r="83" spans="1:31" s="5" customFormat="1">
      <c r="A83" s="501" t="s">
        <v>1160</v>
      </c>
      <c r="B83" s="502"/>
      <c r="C83" s="502"/>
      <c r="D83" s="502"/>
      <c r="E83" s="502"/>
      <c r="F83" s="502"/>
      <c r="G83" s="502"/>
      <c r="H83" s="502"/>
      <c r="I83" s="502"/>
      <c r="J83" s="502"/>
      <c r="K83" s="502"/>
      <c r="L83" s="502"/>
      <c r="M83" s="502">
        <f>ROUND('UAT9-Sep'!M110*AC66*100%,0)+ROUND('UAT9-Sep'!M110*AC67*100%,0)+ROUND('UAT9-Sep'!M110*AC68*100%,0)</f>
        <v>1211550</v>
      </c>
      <c r="N83" s="502"/>
      <c r="O83" s="503"/>
      <c r="P83" s="504">
        <f t="shared" ref="P83:P105" si="28">SUM(B83:O83)</f>
        <v>1211550</v>
      </c>
      <c r="Q83" s="519" t="s">
        <v>597</v>
      </c>
      <c r="R83" s="519" t="s">
        <v>597</v>
      </c>
      <c r="S83" s="520"/>
      <c r="T83" s="521"/>
      <c r="U83" s="521"/>
      <c r="AD83"/>
      <c r="AE83"/>
    </row>
    <row r="84" spans="1:31" s="5" customFormat="1">
      <c r="A84" s="527" t="s">
        <v>747</v>
      </c>
      <c r="B84" s="502"/>
      <c r="C84" s="502"/>
      <c r="D84" s="502"/>
      <c r="E84" s="502"/>
      <c r="F84" s="502"/>
      <c r="G84" s="502"/>
      <c r="H84" s="502"/>
      <c r="I84" s="502"/>
      <c r="J84" s="502"/>
      <c r="K84" s="502"/>
      <c r="L84" s="502"/>
      <c r="M84" s="502">
        <f>ROUND('UAT9-Sep'!M110*AC66*100%,0)+ROUND('UAT9-Sep'!M110*AC67*100%,0)+ROUND('UAT9-Sep'!M110*AC68*100%,0)</f>
        <v>1211550</v>
      </c>
      <c r="N84" s="502"/>
      <c r="O84" s="503"/>
      <c r="P84" s="504">
        <f t="shared" si="28"/>
        <v>1211550</v>
      </c>
      <c r="Q84" s="519" t="s">
        <v>597</v>
      </c>
      <c r="R84" s="519"/>
      <c r="S84" s="522"/>
      <c r="T84" s="522"/>
      <c r="U84" s="522"/>
      <c r="AD84"/>
      <c r="AE84"/>
    </row>
    <row r="85" spans="1:31" s="5" customFormat="1">
      <c r="A85" s="527" t="s">
        <v>790</v>
      </c>
      <c r="B85" s="554"/>
      <c r="C85" s="554"/>
      <c r="D85" s="554"/>
      <c r="E85" s="554"/>
      <c r="F85" s="554"/>
      <c r="G85" s="554"/>
      <c r="H85" s="554"/>
      <c r="I85" s="554"/>
      <c r="J85" s="554"/>
      <c r="K85" s="554"/>
      <c r="L85" s="554"/>
      <c r="M85" s="554"/>
      <c r="N85" s="554"/>
      <c r="O85" s="561"/>
      <c r="P85" s="558">
        <f t="shared" si="28"/>
        <v>0</v>
      </c>
      <c r="Q85" s="547"/>
      <c r="R85" s="547"/>
      <c r="S85" s="547"/>
      <c r="T85" s="547"/>
      <c r="U85" s="547"/>
      <c r="AD85"/>
      <c r="AE85"/>
    </row>
    <row r="86" spans="1:31" s="5" customFormat="1">
      <c r="A86" s="527" t="s">
        <v>791</v>
      </c>
      <c r="B86" s="554"/>
      <c r="C86" s="554"/>
      <c r="D86" s="554"/>
      <c r="E86" s="554"/>
      <c r="F86" s="554"/>
      <c r="G86" s="554"/>
      <c r="H86" s="554"/>
      <c r="I86" s="554"/>
      <c r="J86" s="554"/>
      <c r="K86" s="554"/>
      <c r="L86" s="554"/>
      <c r="M86" s="554"/>
      <c r="N86" s="554"/>
      <c r="O86" s="561"/>
      <c r="P86" s="558">
        <f t="shared" si="28"/>
        <v>0</v>
      </c>
      <c r="Q86" s="547"/>
      <c r="R86" s="547"/>
      <c r="S86" s="547"/>
      <c r="T86" s="547"/>
      <c r="U86" s="547"/>
      <c r="V86" s="160"/>
      <c r="AD86"/>
      <c r="AE86"/>
    </row>
    <row r="87" spans="1:31" s="5" customFormat="1">
      <c r="A87" s="527" t="s">
        <v>792</v>
      </c>
      <c r="B87" s="554"/>
      <c r="C87" s="554"/>
      <c r="D87" s="554"/>
      <c r="E87" s="554"/>
      <c r="F87" s="554"/>
      <c r="G87" s="554"/>
      <c r="H87" s="554"/>
      <c r="I87" s="554"/>
      <c r="J87" s="554"/>
      <c r="K87" s="554"/>
      <c r="L87" s="554"/>
      <c r="M87" s="554"/>
      <c r="N87" s="554"/>
      <c r="O87" s="561"/>
      <c r="P87" s="558">
        <f t="shared" si="28"/>
        <v>0</v>
      </c>
      <c r="Q87" s="547"/>
      <c r="R87" s="547"/>
      <c r="S87" s="547"/>
      <c r="T87" s="547"/>
      <c r="U87" s="547"/>
      <c r="AD87"/>
      <c r="AE87"/>
    </row>
    <row r="88" spans="1:31" s="5" customFormat="1">
      <c r="A88" s="527" t="s">
        <v>793</v>
      </c>
      <c r="B88" s="554"/>
      <c r="C88" s="554"/>
      <c r="D88" s="554"/>
      <c r="E88" s="554"/>
      <c r="F88" s="554"/>
      <c r="G88" s="554"/>
      <c r="H88" s="554"/>
      <c r="I88" s="554"/>
      <c r="J88" s="554"/>
      <c r="K88" s="554"/>
      <c r="L88" s="554"/>
      <c r="M88" s="554"/>
      <c r="N88" s="554"/>
      <c r="O88" s="561"/>
      <c r="P88" s="558">
        <f t="shared" si="28"/>
        <v>0</v>
      </c>
      <c r="Q88" s="548"/>
      <c r="R88" s="547"/>
      <c r="S88" s="547"/>
      <c r="T88" s="547"/>
      <c r="U88" s="547"/>
      <c r="W88" s="160"/>
      <c r="X88" s="160"/>
      <c r="Y88" s="160"/>
      <c r="Z88" s="160"/>
      <c r="AA88" s="160"/>
      <c r="AB88" s="160"/>
      <c r="AC88" s="160"/>
      <c r="AD88"/>
      <c r="AE88"/>
    </row>
    <row r="89" spans="1:31" s="5" customFormat="1">
      <c r="A89" s="527" t="s">
        <v>794</v>
      </c>
      <c r="B89" s="554"/>
      <c r="C89" s="554"/>
      <c r="D89" s="554"/>
      <c r="E89" s="554"/>
      <c r="F89" s="554"/>
      <c r="G89" s="554"/>
      <c r="H89" s="554"/>
      <c r="I89" s="554"/>
      <c r="J89" s="554"/>
      <c r="K89" s="554"/>
      <c r="L89" s="554"/>
      <c r="M89" s="554"/>
      <c r="N89" s="554"/>
      <c r="O89" s="561"/>
      <c r="P89" s="558">
        <f t="shared" si="28"/>
        <v>0</v>
      </c>
      <c r="Q89" s="547"/>
      <c r="R89" s="547"/>
      <c r="S89" s="547"/>
      <c r="T89" s="547"/>
      <c r="U89" s="547"/>
      <c r="AD89"/>
      <c r="AE89"/>
    </row>
    <row r="90" spans="1:31" s="5" customFormat="1">
      <c r="A90" s="527" t="s">
        <v>795</v>
      </c>
      <c r="B90" s="554"/>
      <c r="C90" s="554"/>
      <c r="D90" s="554"/>
      <c r="E90" s="554"/>
      <c r="F90" s="554"/>
      <c r="G90" s="554"/>
      <c r="H90" s="554"/>
      <c r="I90" s="554"/>
      <c r="J90" s="554"/>
      <c r="K90" s="554"/>
      <c r="L90" s="554"/>
      <c r="M90" s="554"/>
      <c r="N90" s="554"/>
      <c r="O90" s="561"/>
      <c r="P90" s="558">
        <f t="shared" si="28"/>
        <v>0</v>
      </c>
      <c r="Q90" s="547"/>
      <c r="R90" s="547"/>
      <c r="S90" s="547"/>
      <c r="T90" s="547"/>
      <c r="U90" s="547"/>
      <c r="AD90"/>
      <c r="AE90"/>
    </row>
    <row r="91" spans="1:31" s="5" customFormat="1">
      <c r="A91" s="527" t="s">
        <v>796</v>
      </c>
      <c r="B91" s="554"/>
      <c r="C91" s="554"/>
      <c r="D91" s="554"/>
      <c r="E91" s="554"/>
      <c r="F91" s="554"/>
      <c r="G91" s="554"/>
      <c r="H91" s="554"/>
      <c r="I91" s="554"/>
      <c r="J91" s="554"/>
      <c r="K91" s="554"/>
      <c r="L91" s="554"/>
      <c r="M91" s="554"/>
      <c r="N91" s="554"/>
      <c r="O91" s="561"/>
      <c r="P91" s="558">
        <f t="shared" si="28"/>
        <v>0</v>
      </c>
      <c r="Q91" s="547"/>
      <c r="R91" s="547"/>
      <c r="S91" s="547"/>
      <c r="T91" s="547"/>
      <c r="U91" s="547"/>
      <c r="AD91"/>
      <c r="AE91"/>
    </row>
    <row r="92" spans="1:31" s="5" customFormat="1">
      <c r="A92" s="527" t="s">
        <v>797</v>
      </c>
      <c r="B92" s="554"/>
      <c r="C92" s="554"/>
      <c r="D92" s="554"/>
      <c r="E92" s="554"/>
      <c r="F92" s="554"/>
      <c r="G92" s="554"/>
      <c r="H92" s="554"/>
      <c r="I92" s="554"/>
      <c r="J92" s="554"/>
      <c r="K92" s="554"/>
      <c r="L92" s="554"/>
      <c r="M92" s="554"/>
      <c r="N92" s="554"/>
      <c r="O92" s="561"/>
      <c r="P92" s="558">
        <f t="shared" si="28"/>
        <v>0</v>
      </c>
      <c r="Q92" s="547"/>
      <c r="R92" s="548"/>
      <c r="S92" s="548"/>
      <c r="T92" s="548"/>
      <c r="U92" s="548"/>
      <c r="AD92"/>
      <c r="AE92"/>
    </row>
    <row r="93" spans="1:31" s="5" customFormat="1">
      <c r="A93" s="527" t="s">
        <v>798</v>
      </c>
      <c r="B93" s="554"/>
      <c r="C93" s="554"/>
      <c r="D93" s="554"/>
      <c r="E93" s="554"/>
      <c r="F93" s="554"/>
      <c r="G93" s="554"/>
      <c r="H93" s="554"/>
      <c r="I93" s="554"/>
      <c r="J93" s="554"/>
      <c r="K93" s="554"/>
      <c r="L93" s="554"/>
      <c r="M93" s="554"/>
      <c r="N93" s="554"/>
      <c r="O93" s="561"/>
      <c r="P93" s="558">
        <f t="shared" si="28"/>
        <v>0</v>
      </c>
      <c r="Q93" s="547"/>
      <c r="R93" s="547"/>
      <c r="S93" s="547"/>
      <c r="T93" s="547"/>
      <c r="U93" s="547"/>
      <c r="AD93"/>
      <c r="AE93"/>
    </row>
    <row r="94" spans="1:31" s="5" customFormat="1">
      <c r="A94" s="527" t="s">
        <v>799</v>
      </c>
      <c r="B94" s="554"/>
      <c r="C94" s="554"/>
      <c r="D94" s="554"/>
      <c r="E94" s="554"/>
      <c r="F94" s="554"/>
      <c r="G94" s="554"/>
      <c r="H94" s="554"/>
      <c r="I94" s="554"/>
      <c r="J94" s="554"/>
      <c r="K94" s="554"/>
      <c r="L94" s="554"/>
      <c r="M94" s="554"/>
      <c r="N94" s="554"/>
      <c r="O94" s="561"/>
      <c r="P94" s="558">
        <f t="shared" si="28"/>
        <v>0</v>
      </c>
      <c r="Q94" s="547"/>
      <c r="R94" s="547"/>
      <c r="S94" s="547"/>
      <c r="T94" s="547"/>
      <c r="U94" s="547"/>
      <c r="AD94"/>
      <c r="AE94"/>
    </row>
    <row r="95" spans="1:31" s="5" customFormat="1">
      <c r="A95" s="527" t="s">
        <v>813</v>
      </c>
      <c r="B95" s="554"/>
      <c r="C95" s="554"/>
      <c r="D95" s="554"/>
      <c r="E95" s="554"/>
      <c r="F95" s="554"/>
      <c r="G95" s="554"/>
      <c r="H95" s="554"/>
      <c r="I95" s="554"/>
      <c r="J95" s="554"/>
      <c r="K95" s="554"/>
      <c r="L95" s="554"/>
      <c r="M95" s="554"/>
      <c r="N95" s="554"/>
      <c r="O95" s="561"/>
      <c r="P95" s="558">
        <f t="shared" si="28"/>
        <v>0</v>
      </c>
      <c r="Q95" s="547"/>
      <c r="R95" s="547"/>
      <c r="S95" s="547"/>
      <c r="T95" s="547"/>
      <c r="U95" s="547"/>
      <c r="AD95"/>
      <c r="AE95"/>
    </row>
    <row r="96" spans="1:31" s="5" customFormat="1">
      <c r="A96" s="527" t="s">
        <v>800</v>
      </c>
      <c r="B96" s="554"/>
      <c r="C96" s="554"/>
      <c r="D96" s="554"/>
      <c r="E96" s="554"/>
      <c r="F96" s="554"/>
      <c r="G96" s="554"/>
      <c r="H96" s="554"/>
      <c r="I96" s="554"/>
      <c r="J96" s="554"/>
      <c r="K96" s="554"/>
      <c r="L96" s="554"/>
      <c r="M96" s="554"/>
      <c r="N96" s="554"/>
      <c r="O96" s="561"/>
      <c r="P96" s="558">
        <f t="shared" si="28"/>
        <v>0</v>
      </c>
      <c r="Q96" s="547"/>
      <c r="R96" s="547"/>
      <c r="S96" s="547"/>
      <c r="T96" s="547"/>
      <c r="U96" s="547"/>
      <c r="AD96"/>
      <c r="AE96"/>
    </row>
    <row r="97" spans="1:32" s="5" customFormat="1">
      <c r="A97" s="527" t="s">
        <v>801</v>
      </c>
      <c r="B97" s="554"/>
      <c r="C97" s="554"/>
      <c r="D97" s="554"/>
      <c r="E97" s="554"/>
      <c r="F97" s="554"/>
      <c r="G97" s="554"/>
      <c r="H97" s="554"/>
      <c r="I97" s="554"/>
      <c r="J97" s="554"/>
      <c r="K97" s="554"/>
      <c r="L97" s="554"/>
      <c r="M97" s="554"/>
      <c r="N97" s="554"/>
      <c r="O97" s="561"/>
      <c r="P97" s="558">
        <f t="shared" si="28"/>
        <v>0</v>
      </c>
      <c r="Q97" s="547"/>
      <c r="R97" s="547"/>
      <c r="S97" s="547"/>
      <c r="T97" s="547"/>
      <c r="U97" s="547"/>
      <c r="AD97"/>
      <c r="AE97"/>
    </row>
    <row r="98" spans="1:32" s="5" customFormat="1">
      <c r="A98" s="527" t="s">
        <v>802</v>
      </c>
      <c r="B98" s="554"/>
      <c r="C98" s="554"/>
      <c r="D98" s="554"/>
      <c r="E98" s="554"/>
      <c r="F98" s="554"/>
      <c r="G98" s="554"/>
      <c r="H98" s="554"/>
      <c r="I98" s="554"/>
      <c r="J98" s="554"/>
      <c r="K98" s="554"/>
      <c r="L98" s="554"/>
      <c r="M98" s="554"/>
      <c r="N98" s="554"/>
      <c r="O98" s="561"/>
      <c r="P98" s="558">
        <f t="shared" si="28"/>
        <v>0</v>
      </c>
      <c r="Q98" s="547"/>
      <c r="R98" s="547"/>
      <c r="S98" s="547"/>
      <c r="T98" s="547"/>
      <c r="U98" s="547"/>
      <c r="AD98"/>
      <c r="AE98"/>
    </row>
    <row r="99" spans="1:32" s="5" customFormat="1">
      <c r="A99" s="527" t="s">
        <v>803</v>
      </c>
      <c r="B99" s="554"/>
      <c r="C99" s="554"/>
      <c r="D99" s="554"/>
      <c r="E99" s="554">
        <f>AC73</f>
        <v>21</v>
      </c>
      <c r="F99" s="554"/>
      <c r="G99" s="554"/>
      <c r="H99" s="554">
        <f>AC74</f>
        <v>19</v>
      </c>
      <c r="I99" s="554"/>
      <c r="J99" s="554"/>
      <c r="K99" s="554"/>
      <c r="L99" s="554"/>
      <c r="M99" s="554"/>
      <c r="N99" s="554"/>
      <c r="O99" s="561"/>
      <c r="P99" s="558">
        <f t="shared" si="28"/>
        <v>40</v>
      </c>
      <c r="Q99" s="547"/>
      <c r="R99" s="547"/>
      <c r="S99" s="547"/>
      <c r="T99" s="547"/>
      <c r="U99" s="547"/>
      <c r="AD99" s="293"/>
      <c r="AE99"/>
    </row>
    <row r="100" spans="1:32" s="5" customFormat="1">
      <c r="A100" s="527" t="s">
        <v>804</v>
      </c>
      <c r="B100" s="554"/>
      <c r="C100" s="554"/>
      <c r="D100" s="554"/>
      <c r="E100" s="554"/>
      <c r="F100" s="554"/>
      <c r="G100" s="554"/>
      <c r="H100" s="554"/>
      <c r="I100" s="554"/>
      <c r="J100" s="554"/>
      <c r="K100" s="554"/>
      <c r="L100" s="554"/>
      <c r="M100" s="554"/>
      <c r="N100" s="554"/>
      <c r="O100" s="561"/>
      <c r="P100" s="558">
        <f t="shared" si="28"/>
        <v>0</v>
      </c>
      <c r="Q100" s="547"/>
      <c r="R100" s="547"/>
      <c r="S100" s="547"/>
      <c r="T100" s="547"/>
      <c r="U100" s="547"/>
      <c r="AD100" s="293"/>
      <c r="AE100"/>
    </row>
    <row r="101" spans="1:32" s="5" customFormat="1">
      <c r="A101" s="527" t="s">
        <v>805</v>
      </c>
      <c r="B101" s="554"/>
      <c r="C101" s="554"/>
      <c r="D101" s="554"/>
      <c r="E101" s="554"/>
      <c r="F101" s="554"/>
      <c r="G101" s="554"/>
      <c r="H101" s="554"/>
      <c r="I101" s="554"/>
      <c r="J101" s="554"/>
      <c r="K101" s="554"/>
      <c r="L101" s="554"/>
      <c r="M101" s="554"/>
      <c r="N101" s="554"/>
      <c r="O101" s="561"/>
      <c r="P101" s="558">
        <f t="shared" si="28"/>
        <v>0</v>
      </c>
      <c r="Q101" s="547"/>
      <c r="R101" s="547"/>
      <c r="S101" s="547"/>
      <c r="T101" s="547"/>
      <c r="U101" s="547"/>
      <c r="AD101" s="293"/>
      <c r="AE101"/>
    </row>
    <row r="102" spans="1:32" s="5" customFormat="1">
      <c r="A102" s="527" t="s">
        <v>806</v>
      </c>
      <c r="B102" s="554"/>
      <c r="C102" s="554"/>
      <c r="D102" s="554"/>
      <c r="E102" s="554"/>
      <c r="F102" s="554"/>
      <c r="G102" s="554"/>
      <c r="H102" s="554"/>
      <c r="I102" s="554"/>
      <c r="J102" s="554"/>
      <c r="K102" s="554"/>
      <c r="L102" s="554"/>
      <c r="M102" s="554"/>
      <c r="N102" s="554"/>
      <c r="O102" s="561"/>
      <c r="P102" s="558">
        <f t="shared" si="28"/>
        <v>0</v>
      </c>
      <c r="Q102" s="547"/>
      <c r="R102" s="547"/>
      <c r="S102" s="547"/>
      <c r="T102" s="547"/>
      <c r="U102" s="547"/>
      <c r="AD102" s="293"/>
      <c r="AE102"/>
    </row>
    <row r="103" spans="1:32" s="5" customFormat="1">
      <c r="A103" s="527" t="s">
        <v>807</v>
      </c>
      <c r="B103" s="554"/>
      <c r="C103" s="554"/>
      <c r="D103" s="554"/>
      <c r="E103" s="554"/>
      <c r="F103" s="554"/>
      <c r="G103" s="554"/>
      <c r="H103" s="554"/>
      <c r="I103" s="554"/>
      <c r="J103" s="554"/>
      <c r="K103" s="554"/>
      <c r="L103" s="554"/>
      <c r="M103" s="554"/>
      <c r="N103" s="554"/>
      <c r="O103" s="561"/>
      <c r="P103" s="558">
        <f t="shared" si="28"/>
        <v>0</v>
      </c>
      <c r="Q103" s="512"/>
      <c r="R103" s="547"/>
      <c r="S103" s="547"/>
      <c r="T103" s="547"/>
      <c r="U103" s="547"/>
      <c r="AD103" s="293"/>
      <c r="AE103"/>
    </row>
    <row r="104" spans="1:32" s="5" customFormat="1">
      <c r="A104" s="527" t="s">
        <v>808</v>
      </c>
      <c r="B104" s="554"/>
      <c r="C104" s="554"/>
      <c r="D104" s="554"/>
      <c r="E104" s="554"/>
      <c r="F104" s="554"/>
      <c r="G104" s="554"/>
      <c r="H104" s="554"/>
      <c r="I104" s="554"/>
      <c r="J104" s="554"/>
      <c r="K104" s="554"/>
      <c r="L104" s="554"/>
      <c r="M104" s="554"/>
      <c r="N104" s="554"/>
      <c r="O104" s="561"/>
      <c r="P104" s="558">
        <f t="shared" si="28"/>
        <v>0</v>
      </c>
      <c r="Q104" s="547"/>
      <c r="R104" s="547"/>
      <c r="S104" s="547"/>
      <c r="T104" s="547"/>
      <c r="U104" s="547"/>
      <c r="AD104" s="293"/>
      <c r="AE104"/>
    </row>
    <row r="105" spans="1:32" s="5" customFormat="1">
      <c r="A105" s="527" t="s">
        <v>809</v>
      </c>
      <c r="B105" s="554"/>
      <c r="C105" s="554"/>
      <c r="D105" s="554"/>
      <c r="E105" s="554"/>
      <c r="F105" s="554"/>
      <c r="G105" s="554"/>
      <c r="H105" s="554"/>
      <c r="I105" s="554"/>
      <c r="J105" s="554"/>
      <c r="K105" s="554"/>
      <c r="L105" s="554"/>
      <c r="M105" s="554"/>
      <c r="N105" s="554"/>
      <c r="O105" s="561"/>
      <c r="P105" s="558">
        <f t="shared" si="28"/>
        <v>0</v>
      </c>
      <c r="Q105" s="547"/>
      <c r="R105" s="547"/>
      <c r="S105" s="547"/>
      <c r="T105" s="547"/>
      <c r="U105" s="547"/>
      <c r="AD105" s="293"/>
      <c r="AE105"/>
    </row>
    <row r="106" spans="1:32" s="5" customFormat="1">
      <c r="A106" s="412"/>
      <c r="B106" s="331"/>
      <c r="C106" s="332"/>
      <c r="D106" s="332"/>
      <c r="E106" s="340"/>
      <c r="F106" s="332"/>
      <c r="G106" s="332"/>
      <c r="H106" s="332"/>
      <c r="I106" s="332"/>
      <c r="J106" s="332"/>
      <c r="K106" s="340"/>
      <c r="L106" s="340"/>
      <c r="M106" s="340"/>
      <c r="N106" s="340"/>
      <c r="O106" s="401"/>
      <c r="P106" s="346"/>
      <c r="Q106" s="347"/>
      <c r="R106" s="347"/>
      <c r="S106" s="347"/>
      <c r="T106" s="347"/>
      <c r="U106" s="347"/>
      <c r="AD106" s="293"/>
      <c r="AE106"/>
    </row>
    <row r="107" spans="1:32" s="5" customFormat="1" ht="15.6">
      <c r="A107" s="411" t="s">
        <v>485</v>
      </c>
      <c r="B107" s="331"/>
      <c r="C107" s="332"/>
      <c r="D107" s="332"/>
      <c r="E107" s="340"/>
      <c r="F107" s="332"/>
      <c r="G107" s="332"/>
      <c r="H107" s="332"/>
      <c r="I107" s="332"/>
      <c r="J107" s="332"/>
      <c r="K107" s="340"/>
      <c r="L107" s="340"/>
      <c r="M107" s="340"/>
      <c r="N107" s="340"/>
      <c r="O107" s="401"/>
      <c r="P107" s="346"/>
      <c r="Q107" s="347"/>
      <c r="R107" s="380"/>
      <c r="S107" s="380"/>
      <c r="T107" s="380"/>
      <c r="U107" s="380"/>
      <c r="AD107" s="293"/>
      <c r="AE107"/>
    </row>
    <row r="108" spans="1:32" s="5" customFormat="1">
      <c r="A108" s="445" t="s">
        <v>490</v>
      </c>
      <c r="B108" s="332">
        <f t="shared" ref="B108:O108" si="29">IF(OR(B19="A",B19="B"),IF(B11&lt;&gt;"C",ROUND(B163*12/52/40,0),B164),IF(B11&lt;&gt;"C",ROUND(B163*$B$4*12/52/40,0),B164*$B$4))</f>
        <v>40385</v>
      </c>
      <c r="C108" s="332">
        <f t="shared" si="29"/>
        <v>35769</v>
      </c>
      <c r="D108" s="332">
        <f t="shared" si="29"/>
        <v>63462</v>
      </c>
      <c r="E108" s="332">
        <f t="shared" si="29"/>
        <v>63462</v>
      </c>
      <c r="F108" s="332">
        <f t="shared" si="29"/>
        <v>92308</v>
      </c>
      <c r="G108" s="332">
        <f t="shared" si="29"/>
        <v>5801250</v>
      </c>
      <c r="H108" s="332">
        <f t="shared" si="29"/>
        <v>736313</v>
      </c>
      <c r="I108" s="332">
        <f t="shared" si="29"/>
        <v>562275</v>
      </c>
      <c r="J108" s="332">
        <f t="shared" si="29"/>
        <v>317308</v>
      </c>
      <c r="K108" s="332">
        <f t="shared" si="29"/>
        <v>57692</v>
      </c>
      <c r="L108" s="332">
        <f t="shared" si="29"/>
        <v>66346</v>
      </c>
      <c r="M108" s="332">
        <f t="shared" si="29"/>
        <v>40385</v>
      </c>
      <c r="N108" s="332">
        <f t="shared" si="29"/>
        <v>46154</v>
      </c>
      <c r="O108" s="400">
        <f t="shared" si="29"/>
        <v>900000</v>
      </c>
      <c r="P108" s="346">
        <f t="shared" ref="P108:P116" si="30">SUM(B108:O108)</f>
        <v>8823109</v>
      </c>
      <c r="Q108" s="347"/>
      <c r="R108" s="347"/>
      <c r="S108" s="347"/>
      <c r="T108" s="347"/>
      <c r="U108" s="347"/>
      <c r="AD108" s="293"/>
      <c r="AE108" s="81"/>
      <c r="AF108" s="80"/>
    </row>
    <row r="109" spans="1:32">
      <c r="A109" s="445" t="s">
        <v>501</v>
      </c>
      <c r="B109" s="332">
        <f t="shared" ref="B109:O109" si="31">IF(OR(B19="A",B19="B"),ROUND(SUM(B163,B165,B166,B168)*12/52/5*B13%,0),ROUND(SUM(B163,B165,B166,B168)*12/52/5*$B$4*B13%,0))</f>
        <v>420000</v>
      </c>
      <c r="C109" s="332">
        <f t="shared" si="31"/>
        <v>186000</v>
      </c>
      <c r="D109" s="332">
        <f t="shared" si="31"/>
        <v>666923</v>
      </c>
      <c r="E109" s="332">
        <f t="shared" si="31"/>
        <v>507692</v>
      </c>
      <c r="F109" s="332">
        <f t="shared" si="31"/>
        <v>738462</v>
      </c>
      <c r="G109" s="332">
        <f t="shared" si="31"/>
        <v>0</v>
      </c>
      <c r="H109" s="332">
        <f t="shared" si="31"/>
        <v>3828825</v>
      </c>
      <c r="I109" s="332">
        <f t="shared" si="31"/>
        <v>4498200</v>
      </c>
      <c r="J109" s="332">
        <f t="shared" si="31"/>
        <v>1650000</v>
      </c>
      <c r="K109" s="332">
        <f t="shared" si="31"/>
        <v>600000</v>
      </c>
      <c r="L109" s="332">
        <f t="shared" si="31"/>
        <v>530769</v>
      </c>
      <c r="M109" s="332">
        <f t="shared" si="31"/>
        <v>484615</v>
      </c>
      <c r="N109" s="332">
        <f t="shared" si="31"/>
        <v>500769</v>
      </c>
      <c r="O109" s="400">
        <f t="shared" si="31"/>
        <v>0</v>
      </c>
      <c r="P109" s="346">
        <f t="shared" si="30"/>
        <v>14612255</v>
      </c>
      <c r="Q109" s="347"/>
      <c r="R109" s="347"/>
      <c r="S109" s="347"/>
      <c r="T109" s="347"/>
      <c r="U109" s="347"/>
      <c r="AD109" s="293"/>
      <c r="AE109" s="81"/>
      <c r="AF109" s="81"/>
    </row>
    <row r="110" spans="1:32">
      <c r="A110" s="445" t="s">
        <v>502</v>
      </c>
      <c r="B110" s="332">
        <f t="shared" ref="B110:O110" si="32">IF(OR(B19="A",B19="B"),ROUND(B163/B16,0),ROUND(B163*$B$4/B16,0))</f>
        <v>304348</v>
      </c>
      <c r="C110" s="332">
        <f t="shared" si="32"/>
        <v>269565</v>
      </c>
      <c r="D110" s="332">
        <f t="shared" si="32"/>
        <v>478261</v>
      </c>
      <c r="E110" s="332">
        <f t="shared" si="32"/>
        <v>478261</v>
      </c>
      <c r="F110" s="332">
        <f t="shared" si="32"/>
        <v>695652</v>
      </c>
      <c r="G110" s="332">
        <f t="shared" si="32"/>
        <v>0</v>
      </c>
      <c r="H110" s="332">
        <f t="shared" si="32"/>
        <v>5549022</v>
      </c>
      <c r="I110" s="332">
        <f t="shared" si="32"/>
        <v>4237435</v>
      </c>
      <c r="J110" s="332">
        <f t="shared" si="32"/>
        <v>2391304</v>
      </c>
      <c r="K110" s="332">
        <f t="shared" si="32"/>
        <v>434783</v>
      </c>
      <c r="L110" s="332">
        <f t="shared" si="32"/>
        <v>500000</v>
      </c>
      <c r="M110" s="332">
        <f t="shared" si="32"/>
        <v>304348</v>
      </c>
      <c r="N110" s="332">
        <f t="shared" si="32"/>
        <v>347826</v>
      </c>
      <c r="O110" s="400">
        <f t="shared" si="32"/>
        <v>0</v>
      </c>
      <c r="P110" s="346">
        <f t="shared" si="30"/>
        <v>15990805</v>
      </c>
      <c r="Q110" s="347"/>
      <c r="R110" s="347"/>
      <c r="S110" s="347"/>
      <c r="T110" s="347"/>
      <c r="U110" s="347"/>
      <c r="AD110" s="293"/>
      <c r="AE110" s="81"/>
      <c r="AF110" s="81"/>
    </row>
    <row r="111" spans="1:32">
      <c r="A111" s="445" t="s">
        <v>628</v>
      </c>
      <c r="B111" s="332">
        <f t="shared" ref="B111:O111" si="33">IF(OR(B19="A",B19="B"),ROUND(SUM(B165,B166,B167,B169:B171)/B16,0),ROUND(SUM(B165,B166,B167,B169:B171)*$B$4/B16,0))</f>
        <v>91304</v>
      </c>
      <c r="C111" s="332">
        <f t="shared" si="33"/>
        <v>80870</v>
      </c>
      <c r="D111" s="332">
        <f t="shared" si="33"/>
        <v>150000</v>
      </c>
      <c r="E111" s="332">
        <f t="shared" si="33"/>
        <v>0</v>
      </c>
      <c r="F111" s="332">
        <f t="shared" si="33"/>
        <v>0</v>
      </c>
      <c r="G111" s="332">
        <f t="shared" si="33"/>
        <v>0</v>
      </c>
      <c r="H111" s="332">
        <f t="shared" si="33"/>
        <v>1664707</v>
      </c>
      <c r="I111" s="332">
        <f t="shared" si="33"/>
        <v>0</v>
      </c>
      <c r="J111" s="332">
        <f t="shared" si="33"/>
        <v>717391</v>
      </c>
      <c r="K111" s="332">
        <f t="shared" si="33"/>
        <v>130435</v>
      </c>
      <c r="L111" s="332">
        <f t="shared" si="33"/>
        <v>0</v>
      </c>
      <c r="M111" s="332">
        <f t="shared" si="33"/>
        <v>152174</v>
      </c>
      <c r="N111" s="332">
        <f t="shared" si="33"/>
        <v>123913</v>
      </c>
      <c r="O111" s="400">
        <f t="shared" si="33"/>
        <v>0</v>
      </c>
      <c r="P111" s="346">
        <f t="shared" si="30"/>
        <v>3110794</v>
      </c>
      <c r="Q111" s="347"/>
      <c r="R111" s="347"/>
      <c r="S111" s="347"/>
      <c r="T111" s="347"/>
      <c r="U111" s="347"/>
      <c r="AD111" s="293"/>
      <c r="AE111" s="81"/>
      <c r="AF111" s="81"/>
    </row>
    <row r="112" spans="1:32">
      <c r="A112" s="445" t="s">
        <v>503</v>
      </c>
      <c r="B112" s="7">
        <f t="shared" ref="B112:O112" si="34">B14/B16*100%</f>
        <v>1</v>
      </c>
      <c r="C112" s="7">
        <f t="shared" si="34"/>
        <v>1</v>
      </c>
      <c r="D112" s="7">
        <f t="shared" si="34"/>
        <v>1</v>
      </c>
      <c r="E112" s="7">
        <f t="shared" si="34"/>
        <v>1</v>
      </c>
      <c r="F112" s="7">
        <f t="shared" si="34"/>
        <v>1</v>
      </c>
      <c r="G112" s="7">
        <f t="shared" si="34"/>
        <v>1</v>
      </c>
      <c r="H112" s="7">
        <f t="shared" si="34"/>
        <v>1</v>
      </c>
      <c r="I112" s="7">
        <f t="shared" si="34"/>
        <v>1</v>
      </c>
      <c r="J112" s="7">
        <f t="shared" si="34"/>
        <v>1</v>
      </c>
      <c r="K112" s="7">
        <f t="shared" si="34"/>
        <v>1</v>
      </c>
      <c r="L112" s="7">
        <f t="shared" si="34"/>
        <v>1</v>
      </c>
      <c r="M112" s="7">
        <f t="shared" si="34"/>
        <v>1</v>
      </c>
      <c r="N112" s="7">
        <f t="shared" si="34"/>
        <v>1</v>
      </c>
      <c r="O112" s="12">
        <f t="shared" si="34"/>
        <v>1</v>
      </c>
      <c r="P112" s="478">
        <f t="shared" si="30"/>
        <v>14</v>
      </c>
      <c r="Q112" s="347"/>
      <c r="R112" s="347"/>
      <c r="S112" s="347"/>
      <c r="T112" s="347"/>
      <c r="U112" s="347"/>
      <c r="AD112" s="293"/>
      <c r="AE112" s="81"/>
      <c r="AF112" s="81"/>
    </row>
    <row r="113" spans="1:32">
      <c r="A113" s="445" t="s">
        <v>504</v>
      </c>
      <c r="B113" s="7">
        <f t="shared" ref="B113:O113" si="35">(B14-B172)/261*100%</f>
        <v>8.8122605363984668E-2</v>
      </c>
      <c r="C113" s="7">
        <f t="shared" si="35"/>
        <v>8.8122605363984668E-2</v>
      </c>
      <c r="D113" s="7">
        <f t="shared" si="35"/>
        <v>8.8122605363984668E-2</v>
      </c>
      <c r="E113" s="7">
        <f t="shared" si="35"/>
        <v>8.8122605363984668E-2</v>
      </c>
      <c r="F113" s="7">
        <f t="shared" si="35"/>
        <v>8.8122605363984668E-2</v>
      </c>
      <c r="G113" s="7">
        <f t="shared" si="35"/>
        <v>8.8122605363984668E-2</v>
      </c>
      <c r="H113" s="7">
        <f t="shared" si="35"/>
        <v>8.8122605363984668E-2</v>
      </c>
      <c r="I113" s="7">
        <f t="shared" si="35"/>
        <v>8.8122605363984668E-2</v>
      </c>
      <c r="J113" s="7">
        <f t="shared" si="35"/>
        <v>8.8122605363984668E-2</v>
      </c>
      <c r="K113" s="7">
        <f t="shared" si="35"/>
        <v>8.8122605363984668E-2</v>
      </c>
      <c r="L113" s="7">
        <f t="shared" si="35"/>
        <v>8.8122605363984668E-2</v>
      </c>
      <c r="M113" s="7">
        <f t="shared" si="35"/>
        <v>8.8122605363984668E-2</v>
      </c>
      <c r="N113" s="7">
        <f t="shared" si="35"/>
        <v>8.8122605363984668E-2</v>
      </c>
      <c r="O113" s="7">
        <f t="shared" si="35"/>
        <v>8.8122605363984668E-2</v>
      </c>
      <c r="P113" s="478">
        <f t="shared" si="30"/>
        <v>1.2337164750957854</v>
      </c>
      <c r="Q113" s="347"/>
      <c r="R113" s="347"/>
      <c r="S113" s="347"/>
      <c r="T113" s="347"/>
      <c r="U113" s="347"/>
      <c r="AD113" s="293"/>
      <c r="AE113" s="81"/>
      <c r="AF113" s="81"/>
    </row>
    <row r="114" spans="1:32">
      <c r="A114" s="445" t="s">
        <v>505</v>
      </c>
      <c r="B114" s="7">
        <f t="shared" ref="B114:O114" si="36">B173/B16*100%</f>
        <v>0</v>
      </c>
      <c r="C114" s="7">
        <f t="shared" si="36"/>
        <v>0</v>
      </c>
      <c r="D114" s="7">
        <f t="shared" si="36"/>
        <v>0</v>
      </c>
      <c r="E114" s="7">
        <f t="shared" si="36"/>
        <v>0</v>
      </c>
      <c r="F114" s="7">
        <f t="shared" si="36"/>
        <v>0</v>
      </c>
      <c r="G114" s="7">
        <f t="shared" si="36"/>
        <v>0</v>
      </c>
      <c r="H114" s="7">
        <f t="shared" si="36"/>
        <v>0</v>
      </c>
      <c r="I114" s="7">
        <f t="shared" si="36"/>
        <v>0</v>
      </c>
      <c r="J114" s="7">
        <f t="shared" si="36"/>
        <v>0</v>
      </c>
      <c r="K114" s="7">
        <f t="shared" si="36"/>
        <v>0</v>
      </c>
      <c r="L114" s="7">
        <f t="shared" si="36"/>
        <v>0</v>
      </c>
      <c r="M114" s="7">
        <f t="shared" si="36"/>
        <v>0</v>
      </c>
      <c r="N114" s="7">
        <f t="shared" si="36"/>
        <v>0</v>
      </c>
      <c r="O114" s="12">
        <f t="shared" si="36"/>
        <v>0</v>
      </c>
      <c r="P114" s="478">
        <f t="shared" si="30"/>
        <v>0</v>
      </c>
      <c r="Q114" s="347"/>
      <c r="R114" s="347"/>
      <c r="S114" s="347"/>
      <c r="T114" s="347"/>
      <c r="U114" s="347"/>
      <c r="AD114" s="293"/>
      <c r="AE114" s="81"/>
      <c r="AF114" s="81"/>
    </row>
    <row r="115" spans="1:32">
      <c r="A115" s="451" t="s">
        <v>494</v>
      </c>
      <c r="B115" s="332">
        <f>ROUND(AA25*B17/365,0)</f>
        <v>679452</v>
      </c>
      <c r="C115" s="332">
        <f>ROUND(AA26*C17/365,0)</f>
        <v>679452</v>
      </c>
      <c r="E115" s="332">
        <f>ROUND(AA27*E17/365,0)</f>
        <v>679452</v>
      </c>
      <c r="F115" s="332">
        <f>ROUND(AA28*F17/365,0)</f>
        <v>679452</v>
      </c>
      <c r="G115" s="332"/>
      <c r="H115" s="332">
        <f>ROUND(AA29*G17/365,0)</f>
        <v>679452</v>
      </c>
      <c r="I115" s="332"/>
      <c r="J115" s="332"/>
      <c r="K115" s="340"/>
      <c r="L115" s="340"/>
      <c r="M115" s="340"/>
      <c r="N115" s="340"/>
      <c r="O115" s="401"/>
      <c r="P115" s="346">
        <f t="shared" si="30"/>
        <v>3397260</v>
      </c>
      <c r="Q115" s="537"/>
      <c r="R115" s="537"/>
      <c r="S115" s="537"/>
      <c r="T115" s="537"/>
      <c r="U115" s="537"/>
      <c r="AD115" s="293"/>
      <c r="AE115" s="81"/>
      <c r="AF115" s="81"/>
    </row>
    <row r="116" spans="1:32">
      <c r="A116" s="445" t="s">
        <v>536</v>
      </c>
      <c r="B116" s="332">
        <f>ROUND(AA30*B17/365,0)</f>
        <v>594521</v>
      </c>
      <c r="C116" s="332">
        <f>ROUND(AA31*C17/365,0)</f>
        <v>594521</v>
      </c>
      <c r="E116" s="332">
        <f>ROUND(AA32*E17/365,0)</f>
        <v>594521</v>
      </c>
      <c r="F116" s="332">
        <f>ROUND(AA33*F17/365,0)</f>
        <v>594521</v>
      </c>
      <c r="G116" s="332"/>
      <c r="H116" s="332">
        <f>ROUND(AA34*G17/365,0)</f>
        <v>594521</v>
      </c>
      <c r="I116" s="332"/>
      <c r="J116" s="332"/>
      <c r="K116" s="332"/>
      <c r="L116" s="332"/>
      <c r="M116" s="332"/>
      <c r="N116" s="332"/>
      <c r="O116" s="400"/>
      <c r="P116" s="346">
        <f t="shared" si="30"/>
        <v>2972605</v>
      </c>
      <c r="R116" s="347"/>
      <c r="S116" s="347"/>
      <c r="T116" s="347"/>
      <c r="U116" s="347"/>
      <c r="AD116" s="293"/>
      <c r="AE116" s="81"/>
      <c r="AF116" s="81"/>
    </row>
    <row r="117" spans="1:32">
      <c r="A117" s="412" t="s">
        <v>613</v>
      </c>
      <c r="B117" s="402"/>
      <c r="C117" s="80"/>
      <c r="D117" s="332"/>
      <c r="E117" s="332"/>
      <c r="F117" s="332"/>
      <c r="G117" s="332"/>
      <c r="H117" s="332">
        <f>AA35*B4</f>
        <v>2320500</v>
      </c>
      <c r="I117" s="332">
        <f>AA36*B4</f>
        <v>2320500</v>
      </c>
      <c r="J117" s="332"/>
      <c r="K117" s="340"/>
      <c r="L117" s="340"/>
      <c r="M117" s="340"/>
      <c r="N117" s="340"/>
      <c r="O117" s="401"/>
      <c r="P117" s="355">
        <f>SUM(D117:O117)</f>
        <v>4641000</v>
      </c>
      <c r="Q117" s="379"/>
      <c r="R117" s="379"/>
      <c r="S117" s="379"/>
      <c r="T117" s="379"/>
      <c r="U117" s="379"/>
      <c r="AD117" s="293"/>
      <c r="AE117" s="81"/>
      <c r="AF117" s="81"/>
    </row>
    <row r="118" spans="1:32">
      <c r="A118" s="412" t="s">
        <v>614</v>
      </c>
      <c r="B118" s="402"/>
      <c r="C118" s="80"/>
      <c r="D118" s="332"/>
      <c r="E118" s="332"/>
      <c r="F118" s="332"/>
      <c r="G118" s="332"/>
      <c r="H118" s="332">
        <f>AA37*B4</f>
        <v>4641000</v>
      </c>
      <c r="I118" s="332">
        <f>AA38*B4</f>
        <v>4641000</v>
      </c>
      <c r="J118" s="332"/>
      <c r="K118" s="340"/>
      <c r="L118" s="340"/>
      <c r="M118" s="340"/>
      <c r="N118" s="340"/>
      <c r="O118" s="401"/>
      <c r="P118" s="355">
        <f>SUM(D118:O118)</f>
        <v>9282000</v>
      </c>
      <c r="Q118" s="347"/>
      <c r="R118" s="347"/>
      <c r="S118" s="347"/>
      <c r="T118" s="347"/>
      <c r="U118" s="347"/>
      <c r="AD118" s="293"/>
      <c r="AE118" s="81"/>
      <c r="AF118" s="81"/>
    </row>
    <row r="119" spans="1:32">
      <c r="A119" s="412"/>
      <c r="B119" s="331"/>
      <c r="C119" s="332"/>
      <c r="D119" s="332"/>
      <c r="E119" s="340"/>
      <c r="F119" s="332"/>
      <c r="G119" s="332"/>
      <c r="H119" s="332"/>
      <c r="I119" s="332"/>
      <c r="J119" s="332"/>
      <c r="K119" s="340"/>
      <c r="L119" s="340"/>
      <c r="M119" s="340"/>
      <c r="N119" s="340"/>
      <c r="O119" s="401"/>
      <c r="P119" s="346"/>
      <c r="AD119" s="293"/>
      <c r="AE119" s="81"/>
      <c r="AF119" s="81"/>
    </row>
    <row r="120" spans="1:32" s="160" customFormat="1">
      <c r="A120" s="412" t="s">
        <v>579</v>
      </c>
      <c r="B120" s="331">
        <f t="shared" ref="B120:O120" si="37">SUM(B25:B41)</f>
        <v>9100000</v>
      </c>
      <c r="C120" s="332">
        <f t="shared" si="37"/>
        <v>16560000</v>
      </c>
      <c r="D120" s="332">
        <f t="shared" si="37"/>
        <v>14450000</v>
      </c>
      <c r="E120" s="332">
        <f t="shared" si="37"/>
        <v>25475000</v>
      </c>
      <c r="F120" s="332">
        <f t="shared" si="37"/>
        <v>16000000</v>
      </c>
      <c r="G120" s="332">
        <f t="shared" si="37"/>
        <v>29006250</v>
      </c>
      <c r="H120" s="332">
        <f t="shared" si="37"/>
        <v>252301638</v>
      </c>
      <c r="I120" s="332">
        <f t="shared" si="37"/>
        <v>90499500</v>
      </c>
      <c r="J120" s="332">
        <f t="shared" si="37"/>
        <v>71500000</v>
      </c>
      <c r="K120" s="332">
        <f t="shared" si="37"/>
        <v>19335454</v>
      </c>
      <c r="L120" s="332">
        <f t="shared" si="37"/>
        <v>11500000</v>
      </c>
      <c r="M120" s="332">
        <f t="shared" si="37"/>
        <v>12923100</v>
      </c>
      <c r="N120" s="332">
        <f t="shared" si="37"/>
        <v>19850000</v>
      </c>
      <c r="O120" s="400">
        <f t="shared" si="37"/>
        <v>4500000</v>
      </c>
      <c r="P120" s="346">
        <f t="shared" ref="P120:P154" si="38">SUM(B120:O120)</f>
        <v>593000942</v>
      </c>
      <c r="Q120"/>
      <c r="R120"/>
      <c r="S120"/>
      <c r="T120"/>
      <c r="U120"/>
      <c r="V120" s="5"/>
      <c r="W120" s="5"/>
      <c r="X120" s="5"/>
      <c r="Y120" s="5"/>
      <c r="Z120" s="5"/>
      <c r="AA120" s="5"/>
      <c r="AB120" s="5"/>
      <c r="AC120" s="5"/>
      <c r="AD120" s="293"/>
      <c r="AE120" s="81"/>
      <c r="AF120" s="288"/>
    </row>
    <row r="121" spans="1:32">
      <c r="A121" s="445" t="s">
        <v>580</v>
      </c>
      <c r="B121" s="332">
        <f t="shared" ref="B121:O121" si="39">SUM(B25:B28,B30:B31,B43,B44,B83)</f>
        <v>9980722</v>
      </c>
      <c r="C121" s="332">
        <f t="shared" si="39"/>
        <v>9141992</v>
      </c>
      <c r="D121" s="332">
        <f t="shared" si="39"/>
        <v>14450000</v>
      </c>
      <c r="E121" s="332">
        <f t="shared" si="39"/>
        <v>-9248656</v>
      </c>
      <c r="F121" s="332">
        <f t="shared" si="39"/>
        <v>16679452</v>
      </c>
      <c r="G121" s="332">
        <f t="shared" si="39"/>
        <v>29006250</v>
      </c>
      <c r="H121" s="332">
        <f t="shared" si="39"/>
        <v>14178181</v>
      </c>
      <c r="I121" s="332">
        <f t="shared" si="39"/>
        <v>90499500</v>
      </c>
      <c r="J121" s="332">
        <f t="shared" si="39"/>
        <v>71500000</v>
      </c>
      <c r="K121" s="332">
        <f t="shared" si="39"/>
        <v>13000000</v>
      </c>
      <c r="L121" s="332">
        <f t="shared" si="39"/>
        <v>11500000</v>
      </c>
      <c r="M121" s="332">
        <f t="shared" si="39"/>
        <v>11711550</v>
      </c>
      <c r="N121" s="332">
        <f t="shared" si="39"/>
        <v>10850000</v>
      </c>
      <c r="O121" s="332">
        <f t="shared" si="39"/>
        <v>4500000</v>
      </c>
      <c r="P121" s="346">
        <f t="shared" si="38"/>
        <v>297748991</v>
      </c>
      <c r="AD121" s="293"/>
      <c r="AE121" s="288"/>
      <c r="AF121" s="81"/>
    </row>
    <row r="122" spans="1:32">
      <c r="A122" s="445" t="s">
        <v>581</v>
      </c>
      <c r="B122" s="332">
        <f t="shared" ref="B122:O122" si="40">IF(B15&lt;B16/2,0,IF(OR(B19="A",B19="B"),SUM(B163,B165,B166,B168),B177))</f>
        <v>9100000</v>
      </c>
      <c r="C122" s="332">
        <f t="shared" si="40"/>
        <v>8060000</v>
      </c>
      <c r="D122" s="332">
        <f t="shared" si="40"/>
        <v>14450000</v>
      </c>
      <c r="E122" s="332">
        <f t="shared" si="40"/>
        <v>0</v>
      </c>
      <c r="F122" s="332">
        <f t="shared" si="40"/>
        <v>16000000</v>
      </c>
      <c r="G122" s="332">
        <f t="shared" si="40"/>
        <v>0</v>
      </c>
      <c r="H122" s="332">
        <f t="shared" si="40"/>
        <v>0</v>
      </c>
      <c r="I122" s="332">
        <f t="shared" si="40"/>
        <v>91650000</v>
      </c>
      <c r="J122" s="332">
        <f t="shared" si="40"/>
        <v>71500000</v>
      </c>
      <c r="K122" s="332">
        <f t="shared" si="40"/>
        <v>13000000</v>
      </c>
      <c r="L122" s="332">
        <f t="shared" si="40"/>
        <v>11500000</v>
      </c>
      <c r="M122" s="332">
        <f t="shared" si="40"/>
        <v>10500000</v>
      </c>
      <c r="N122" s="332">
        <f t="shared" si="40"/>
        <v>10850000</v>
      </c>
      <c r="O122" s="400">
        <f t="shared" si="40"/>
        <v>0</v>
      </c>
      <c r="P122" s="346">
        <f t="shared" si="38"/>
        <v>256610000</v>
      </c>
      <c r="AD122" s="293"/>
      <c r="AE122" s="81"/>
      <c r="AF122" s="81"/>
    </row>
    <row r="123" spans="1:32" s="5" customFormat="1">
      <c r="A123" s="412" t="s">
        <v>586</v>
      </c>
      <c r="B123" s="332">
        <f t="shared" ref="B123:O123" si="41">IF(OR(B19="A",B19="B"),SUM(B176,B165,B166,B169,B170,B168),SUM(B176,B168)*$B$4)</f>
        <v>9100000</v>
      </c>
      <c r="C123" s="332">
        <f t="shared" si="41"/>
        <v>8060000</v>
      </c>
      <c r="D123" s="332">
        <f t="shared" si="41"/>
        <v>14450000</v>
      </c>
      <c r="E123" s="332">
        <f t="shared" si="41"/>
        <v>11000000</v>
      </c>
      <c r="F123" s="332">
        <f t="shared" si="41"/>
        <v>16000000</v>
      </c>
      <c r="G123" s="332">
        <f t="shared" si="41"/>
        <v>0</v>
      </c>
      <c r="H123" s="332">
        <f t="shared" si="41"/>
        <v>120666000</v>
      </c>
      <c r="I123" s="332">
        <f t="shared" si="41"/>
        <v>90499500</v>
      </c>
      <c r="J123" s="332">
        <f t="shared" si="41"/>
        <v>71500000</v>
      </c>
      <c r="K123" s="332">
        <f t="shared" si="41"/>
        <v>13000000</v>
      </c>
      <c r="L123" s="332">
        <f t="shared" si="41"/>
        <v>11500000</v>
      </c>
      <c r="M123" s="332">
        <f t="shared" si="41"/>
        <v>10500000</v>
      </c>
      <c r="N123" s="332">
        <f t="shared" si="41"/>
        <v>10850000</v>
      </c>
      <c r="O123" s="400">
        <f t="shared" si="41"/>
        <v>0</v>
      </c>
      <c r="P123" s="346">
        <f t="shared" si="38"/>
        <v>387125500</v>
      </c>
      <c r="Q123"/>
      <c r="R123"/>
      <c r="S123"/>
      <c r="T123"/>
      <c r="U123"/>
      <c r="AD123" s="293"/>
      <c r="AE123" s="81"/>
      <c r="AF123" s="80"/>
    </row>
    <row r="124" spans="1:32" s="5" customFormat="1">
      <c r="A124" s="412" t="s">
        <v>483</v>
      </c>
      <c r="B124" s="332">
        <f>ROUND('UAT9-Sep'!B72/6,0)</f>
        <v>10476667</v>
      </c>
      <c r="C124" s="332">
        <f>ROUND('UAT9-Sep'!C72/6,0)</f>
        <v>9566667</v>
      </c>
      <c r="D124" s="332">
        <f>ROUND('UAT9-Sep'!D72/6,0)</f>
        <v>0</v>
      </c>
      <c r="E124" s="332">
        <f>ROUND('UAT9-Sep'!E72/6,0)</f>
        <v>12398889</v>
      </c>
      <c r="F124" s="332">
        <f>ROUND('UAT9-Sep'!F72/6,0)</f>
        <v>17576667</v>
      </c>
      <c r="G124" s="332">
        <f>ROUND('UAT9-Sep'!G72/6,0)</f>
        <v>0</v>
      </c>
      <c r="H124" s="332">
        <f>ROUND('UAT9-Sep'!H72/6,0)</f>
        <v>118345500</v>
      </c>
      <c r="I124" s="332">
        <f>ROUND('UAT9-Sep'!I72/6,0)</f>
        <v>90499500</v>
      </c>
      <c r="J124" s="332">
        <f>ROUND('UAT9-Sep'!J72/6,0)</f>
        <v>71576667</v>
      </c>
      <c r="K124" s="332">
        <f>ROUND('UAT9-Sep'!K72/6,0)</f>
        <v>14376667</v>
      </c>
      <c r="L124" s="332">
        <f>ROUND('UAT9-Sep'!L72/6,0)</f>
        <v>39910000</v>
      </c>
      <c r="M124" s="332">
        <f>ROUND('UAT9-Sep'!M72/6,0)</f>
        <v>11710000</v>
      </c>
      <c r="N124" s="332">
        <f>ROUND('UAT9-Sep'!N72/6,0)</f>
        <v>12476667</v>
      </c>
      <c r="O124" s="400">
        <f>ROUND('UAT9-Sep'!O72/6,0)</f>
        <v>3000000</v>
      </c>
      <c r="P124" s="346">
        <f t="shared" si="38"/>
        <v>411913891</v>
      </c>
      <c r="Q124"/>
      <c r="R124"/>
      <c r="S124"/>
      <c r="T124"/>
      <c r="U124"/>
      <c r="AD124" s="293"/>
      <c r="AE124" s="81"/>
      <c r="AF124" s="80"/>
    </row>
    <row r="125" spans="1:32" s="5" customFormat="1">
      <c r="A125" s="445" t="s">
        <v>486</v>
      </c>
      <c r="B125" s="332">
        <f>B121</f>
        <v>9980722</v>
      </c>
      <c r="C125" s="332">
        <f t="shared" ref="C125:O125" si="42">C121</f>
        <v>9141992</v>
      </c>
      <c r="D125" s="332">
        <f t="shared" si="42"/>
        <v>14450000</v>
      </c>
      <c r="E125" s="332">
        <f t="shared" si="42"/>
        <v>-9248656</v>
      </c>
      <c r="F125" s="332">
        <f t="shared" si="42"/>
        <v>16679452</v>
      </c>
      <c r="G125" s="332">
        <f t="shared" si="42"/>
        <v>29006250</v>
      </c>
      <c r="H125" s="332">
        <f t="shared" si="42"/>
        <v>14178181</v>
      </c>
      <c r="I125" s="332">
        <f t="shared" si="42"/>
        <v>90499500</v>
      </c>
      <c r="J125" s="332">
        <f t="shared" si="42"/>
        <v>71500000</v>
      </c>
      <c r="K125" s="332">
        <f t="shared" si="42"/>
        <v>13000000</v>
      </c>
      <c r="L125" s="332">
        <f t="shared" si="42"/>
        <v>11500000</v>
      </c>
      <c r="M125" s="332">
        <f t="shared" si="42"/>
        <v>11711550</v>
      </c>
      <c r="N125" s="332">
        <f t="shared" si="42"/>
        <v>10850000</v>
      </c>
      <c r="O125" s="400">
        <f t="shared" si="42"/>
        <v>4500000</v>
      </c>
      <c r="P125" s="346">
        <f t="shared" si="38"/>
        <v>297748991</v>
      </c>
      <c r="Q125"/>
      <c r="R125"/>
      <c r="S125"/>
      <c r="T125"/>
      <c r="U125"/>
      <c r="AD125" s="293"/>
      <c r="AE125" s="81"/>
      <c r="AF125" s="80"/>
    </row>
    <row r="126" spans="1:32" s="5" customFormat="1">
      <c r="A126" s="445" t="s">
        <v>607</v>
      </c>
      <c r="B126" s="332">
        <f t="shared" ref="B126:O126" si="43">SUM(B50:B52)</f>
        <v>955500</v>
      </c>
      <c r="C126" s="332">
        <f t="shared" si="43"/>
        <v>846300</v>
      </c>
      <c r="D126" s="332">
        <f t="shared" si="43"/>
        <v>361250</v>
      </c>
      <c r="E126" s="332">
        <f t="shared" si="43"/>
        <v>0</v>
      </c>
      <c r="F126" s="332">
        <f t="shared" si="43"/>
        <v>0</v>
      </c>
      <c r="G126" s="332">
        <f t="shared" si="43"/>
        <v>0</v>
      </c>
      <c r="H126" s="332">
        <f t="shared" si="43"/>
        <v>0</v>
      </c>
      <c r="I126" s="332">
        <f t="shared" si="43"/>
        <v>447000</v>
      </c>
      <c r="J126" s="332">
        <f t="shared" si="43"/>
        <v>3546000</v>
      </c>
      <c r="K126" s="332">
        <f t="shared" si="43"/>
        <v>0</v>
      </c>
      <c r="L126" s="332">
        <f t="shared" si="43"/>
        <v>1207500</v>
      </c>
      <c r="M126" s="332">
        <f t="shared" si="43"/>
        <v>0</v>
      </c>
      <c r="N126" s="332">
        <f t="shared" si="43"/>
        <v>0</v>
      </c>
      <c r="O126" s="400">
        <f t="shared" si="43"/>
        <v>0</v>
      </c>
      <c r="P126" s="346">
        <f t="shared" si="38"/>
        <v>7363550</v>
      </c>
      <c r="Q126"/>
      <c r="R126"/>
      <c r="S126"/>
      <c r="T126"/>
      <c r="U126"/>
      <c r="AD126" s="293"/>
      <c r="AE126" s="81"/>
      <c r="AF126" s="80"/>
    </row>
    <row r="127" spans="1:32" s="5" customFormat="1">
      <c r="A127" s="445" t="s">
        <v>902</v>
      </c>
      <c r="B127" s="332">
        <f t="shared" ref="B127:O127" si="44">IF(OR(B19="A",B19="C"),B125-B126,B125)</f>
        <v>9025222</v>
      </c>
      <c r="C127" s="332">
        <f t="shared" si="44"/>
        <v>8295692</v>
      </c>
      <c r="D127" s="332">
        <f t="shared" si="44"/>
        <v>14088750</v>
      </c>
      <c r="E127" s="332">
        <f t="shared" si="44"/>
        <v>-9248656</v>
      </c>
      <c r="F127" s="332">
        <f t="shared" si="44"/>
        <v>16679452</v>
      </c>
      <c r="G127" s="332">
        <f t="shared" si="44"/>
        <v>29006250</v>
      </c>
      <c r="H127" s="332">
        <f t="shared" si="44"/>
        <v>14178181</v>
      </c>
      <c r="I127" s="332">
        <f t="shared" si="44"/>
        <v>90499500</v>
      </c>
      <c r="J127" s="332">
        <f t="shared" si="44"/>
        <v>67954000</v>
      </c>
      <c r="K127" s="332">
        <f t="shared" si="44"/>
        <v>13000000</v>
      </c>
      <c r="L127" s="332">
        <f t="shared" si="44"/>
        <v>10292500</v>
      </c>
      <c r="M127" s="332">
        <f t="shared" si="44"/>
        <v>11711550</v>
      </c>
      <c r="N127" s="332">
        <f t="shared" si="44"/>
        <v>10850000</v>
      </c>
      <c r="O127" s="400">
        <f t="shared" si="44"/>
        <v>4500000</v>
      </c>
      <c r="P127" s="346">
        <f t="shared" si="38"/>
        <v>290832441</v>
      </c>
      <c r="Q127"/>
      <c r="R127"/>
      <c r="S127"/>
      <c r="T127"/>
      <c r="U127"/>
      <c r="AD127"/>
      <c r="AE127" s="81"/>
      <c r="AF127" s="80"/>
    </row>
    <row r="128" spans="1:32" s="5" customFormat="1">
      <c r="A128" s="445" t="s">
        <v>903</v>
      </c>
      <c r="B128" s="332">
        <f t="shared" ref="B128:O128" si="45">IF(OR(B19="A",B19="C"),MAX(B127-B22-B21*B20,0),B127)</f>
        <v>0</v>
      </c>
      <c r="C128" s="332">
        <f t="shared" si="45"/>
        <v>0</v>
      </c>
      <c r="D128" s="332">
        <f t="shared" si="45"/>
        <v>5088750</v>
      </c>
      <c r="E128" s="332">
        <f t="shared" si="45"/>
        <v>-9248656</v>
      </c>
      <c r="F128" s="332">
        <f t="shared" si="45"/>
        <v>16679452</v>
      </c>
      <c r="G128" s="332">
        <f t="shared" si="45"/>
        <v>20006250</v>
      </c>
      <c r="H128" s="332">
        <f t="shared" si="45"/>
        <v>14178181</v>
      </c>
      <c r="I128" s="332">
        <f t="shared" si="45"/>
        <v>90499500</v>
      </c>
      <c r="J128" s="332">
        <f t="shared" si="45"/>
        <v>58954000</v>
      </c>
      <c r="K128" s="332">
        <f t="shared" si="45"/>
        <v>4000000</v>
      </c>
      <c r="L128" s="332">
        <f t="shared" si="45"/>
        <v>1292500</v>
      </c>
      <c r="M128" s="332">
        <f t="shared" si="45"/>
        <v>2711550</v>
      </c>
      <c r="N128" s="332">
        <f t="shared" si="45"/>
        <v>1850000</v>
      </c>
      <c r="O128" s="400">
        <f t="shared" si="45"/>
        <v>4500000</v>
      </c>
      <c r="P128" s="346">
        <f t="shared" si="38"/>
        <v>210511527</v>
      </c>
      <c r="Q128"/>
      <c r="R128"/>
      <c r="S128"/>
      <c r="T128"/>
      <c r="U128"/>
      <c r="AD128"/>
      <c r="AE128" s="81"/>
      <c r="AF128" s="80"/>
    </row>
    <row r="129" spans="1:32" s="5" customFormat="1">
      <c r="A129" s="445" t="s">
        <v>906</v>
      </c>
      <c r="B129" s="332">
        <f>IF(OR(B19="A",B19="C"),ROUND(MAX(B128*{5;10;15;20;25;30;35}%-{0;0.25;0.75;1.65;3.25;5.85;9.85}*1000000,0),0),IF(B19="B",IF(B128&lt;2000000,0,ROUND(B128*10%,0)),ROUND(B128*20%,0)))</f>
        <v>0</v>
      </c>
      <c r="C129" s="332">
        <f>IF(OR(C19="A",C19="C"),ROUND(MAX(C128*{5;10;15;20;25;30;35}%-{0;0.25;0.75;1.65;3.25;5.85;9.85}*1000000,0),0),IF(C19="B",IF(C128&lt;2000000,0,ROUND(C128*10%,0)),ROUND(C128*20%,0)))</f>
        <v>0</v>
      </c>
      <c r="D129" s="332">
        <f>IF(OR(D19="A",D19="C"),ROUND(MAX(D128*{5;10;15;20;25;30;35}%-{0;0.25;0.75;1.65;3.25;5.85;9.85}*1000000,0),0),IF(D19="B",IF(D128&lt;2000000,0,ROUND(D128*10%,0)),ROUND(D128*20%,0)))</f>
        <v>258875</v>
      </c>
      <c r="E129" s="332">
        <f>IF(OR(E19="A",E19="C"),ROUND(MAX(E128*{5;10;15;20;25;30;35}%-{0;0.25;0.75;1.65;3.25;5.85;9.85}*1000000,0),0),IF(E19="B",IF(E128&lt;2000000,0,ROUND(E128*10%,0)),ROUND(E128*20%,0)))</f>
        <v>0</v>
      </c>
      <c r="F129" s="332">
        <f>IF(OR(F19="A",F19="C"),ROUND(MAX(F128*{5;10;15;20;25;30;35}%-{0;0.25;0.75;1.65;3.25;5.85;9.85}*1000000,0),0),IF(F19="B",IF(F128&lt;2000000,0,ROUND(F128*10%,0)),ROUND(F128*20%,0)))</f>
        <v>1667945</v>
      </c>
      <c r="G129" s="332">
        <f>IF(OR(G19="A",G19="C"),ROUND(MAX(G128*{5;10;15;20;25;30;35}%-{0;0.25;0.75;1.65;3.25;5.85;9.85}*1000000,0),0),IF(G19="B",IF(G128&lt;2000000,0,ROUND(G128*10%,0)),ROUND(G128*20%,0)))</f>
        <v>2351250</v>
      </c>
      <c r="H129" s="332">
        <f>IF(OR(H19="A",H19="C"),ROUND(MAX(H128*{5;10;15;20;25;30;35}%-{0;0.25;0.75;1.65;3.25;5.85;9.85}*1000000,0),0),IF(H19="B",IF(H128&lt;2000000,0,ROUND(H128*10%,0)),ROUND(H128*20%,0)))</f>
        <v>2835636</v>
      </c>
      <c r="I129" s="332">
        <f>IF(OR(I19="A",I19="C"),ROUND(MAX(I128*{5;10;15;20;25;30;35}%-{0;0.25;0.75;1.65;3.25;5.85;9.85}*1000000,0),0),IF(I19="B",IF(I128&lt;2000000,0,ROUND(I128*10%,0)),ROUND(I128*20%,0)))</f>
        <v>18099900</v>
      </c>
      <c r="J129" s="332">
        <f>IF(OR(J19="A",J19="C"),ROUND(MAX(J128*{5;10;15;20;25;30;35}%-{0;0.25;0.75;1.65;3.25;5.85;9.85}*1000000,0),0),IF(J19="B",IF(J128&lt;2000000,0,ROUND(J128*10%,0)),ROUND(J128*20%,0)))</f>
        <v>11836200</v>
      </c>
      <c r="K129" s="332">
        <f>IF(OR(K19="A",K19="C"),ROUND(MAX(K128*{5;10;15;20;25;30;35}%-{0;0.25;0.75;1.65;3.25;5.85;9.85}*1000000,0),0),IF(K19="B",IF(K128&lt;2000000,0,ROUND(K128*10%,0)),ROUND(K128*20%,0)))</f>
        <v>200000</v>
      </c>
      <c r="L129" s="332">
        <f>IF(OR(L19="A",L19="C"),ROUND(MAX(L128*{5;10;15;20;25;30;35}%-{0;0.25;0.75;1.65;3.25;5.85;9.85}*1000000,0),0),IF(L19="B",IF(L128&lt;2000000,0,ROUND(L128*10%,0)),ROUND(L128*20%,0)))</f>
        <v>64625</v>
      </c>
      <c r="M129" s="332">
        <f>IF(OR(M19="A",M19="C"),ROUND(MAX(M128*{5;10;15;20;25;30;35}%-{0;0.25;0.75;1.65;3.25;5.85;9.85}*1000000,0),0),IF(M19="B",IF(M128&lt;2000000,0,ROUND(M128*10%,0)),ROUND(M128*20%,0)))</f>
        <v>135578</v>
      </c>
      <c r="N129" s="332">
        <f>IF(OR(N19="A",N19="C"),ROUND(MAX(N128*{5;10;15;20;25;30;35}%-{0;0.25;0.75;1.65;3.25;5.85;9.85}*1000000,0),0),IF(N19="B",IF(N128&lt;2000000,0,ROUND(N128*10%,0)),ROUND(N128*20%,0)))</f>
        <v>92500</v>
      </c>
      <c r="O129" s="400">
        <f>IF(OR(O19="A",O19="C"),ROUND(MAX(O128*{5;10;15;20;25;30;35}%-{0;0.25;0.75;1.65;3.25;5.85;9.85}*1000000,0),0),IF(O19="B",IF(O128&lt;2000000,0,ROUND(O128*10%,0)),ROUND(O128*20%,0)))</f>
        <v>450000</v>
      </c>
      <c r="P129" s="346">
        <f t="shared" si="38"/>
        <v>37992509</v>
      </c>
      <c r="Q129"/>
      <c r="R129"/>
      <c r="S129"/>
      <c r="T129"/>
      <c r="U129"/>
      <c r="AD129"/>
      <c r="AE129" s="81"/>
      <c r="AF129" s="80"/>
    </row>
    <row r="130" spans="1:32" s="5" customFormat="1">
      <c r="A130" s="445" t="s">
        <v>922</v>
      </c>
      <c r="B130" s="332">
        <f>B125+'UAT9-Sep'!B132</f>
        <v>129368945</v>
      </c>
      <c r="C130" s="332">
        <f>C125+'UAT9-Sep'!C132</f>
        <v>111695635</v>
      </c>
      <c r="D130" s="332">
        <f>D125+'UAT9-Sep'!D132</f>
        <v>81465899</v>
      </c>
      <c r="E130" s="332">
        <f>E125+'UAT9-Sep'!E132</f>
        <v>168174364</v>
      </c>
      <c r="F130" s="332">
        <f>F125+'UAT9-Sep'!F132</f>
        <v>183472362</v>
      </c>
      <c r="G130" s="332">
        <f>G125+'UAT9-Sep'!G132</f>
        <v>429292500</v>
      </c>
      <c r="H130" s="332">
        <f>H125+'UAT9-Sep'!H132</f>
        <v>1443114989</v>
      </c>
      <c r="I130" s="332">
        <f>I125+'UAT9-Sep'!I132</f>
        <v>1011386190.8621</v>
      </c>
      <c r="J130" s="332">
        <f>J125+'UAT9-Sep'!J132</f>
        <v>632225262</v>
      </c>
      <c r="K130" s="332">
        <f>K125+'UAT9-Sep'!K132</f>
        <v>142257728</v>
      </c>
      <c r="L130" s="332">
        <f>L125+'UAT9-Sep'!L132</f>
        <v>502589353</v>
      </c>
      <c r="M130" s="332">
        <f>M125+'UAT9-Sep'!M132</f>
        <v>94546610</v>
      </c>
      <c r="N130" s="332">
        <f>N125+'UAT9-Sep'!N132</f>
        <v>88499690</v>
      </c>
      <c r="O130" s="400">
        <f>O125+'UAT9-Sep'!O132</f>
        <v>45500000</v>
      </c>
      <c r="P130" s="346">
        <f t="shared" si="38"/>
        <v>5063589527.8621006</v>
      </c>
      <c r="Q130"/>
      <c r="R130"/>
      <c r="S130"/>
      <c r="T130"/>
      <c r="U130"/>
      <c r="AD130"/>
      <c r="AE130" s="81"/>
      <c r="AF130" s="80"/>
    </row>
    <row r="131" spans="1:32" s="5" customFormat="1">
      <c r="A131" s="445" t="s">
        <v>488</v>
      </c>
      <c r="B131" s="332">
        <f>B129+'UAT9-Sep'!B133</f>
        <v>2113683</v>
      </c>
      <c r="C131" s="332">
        <f>C129+'UAT9-Sep'!C133</f>
        <v>0</v>
      </c>
      <c r="D131" s="332">
        <f>D129+'UAT9-Sep'!D133</f>
        <v>420000</v>
      </c>
      <c r="E131" s="332">
        <f>E129+'UAT9-Sep'!E133</f>
        <v>17836803</v>
      </c>
      <c r="F131" s="332">
        <f>F129+'UAT9-Sep'!F133</f>
        <v>18347234</v>
      </c>
      <c r="G131" s="332">
        <f>G129+'UAT9-Sep'!G133</f>
        <v>71753875</v>
      </c>
      <c r="H131" s="332">
        <f>H129+'UAT9-Sep'!H133</f>
        <v>288706398</v>
      </c>
      <c r="I131" s="332">
        <f>I129+'UAT9-Sep'!I133</f>
        <v>202360638</v>
      </c>
      <c r="J131" s="332">
        <f>J129+'UAT9-Sep'!J133</f>
        <v>105471329</v>
      </c>
      <c r="K131" s="332">
        <f>K129+'UAT9-Sep'!K133</f>
        <v>5351546</v>
      </c>
      <c r="L131" s="332">
        <f>L129+'UAT9-Sep'!L133</f>
        <v>86160360</v>
      </c>
      <c r="M131" s="332">
        <f>M129+'UAT9-Sep'!M133</f>
        <v>602332</v>
      </c>
      <c r="N131" s="332">
        <f>N129+'UAT9-Sep'!N133</f>
        <v>313575</v>
      </c>
      <c r="O131" s="400">
        <f>O129+'UAT9-Sep'!O133</f>
        <v>4550000</v>
      </c>
      <c r="P131" s="346">
        <f t="shared" si="38"/>
        <v>803987773</v>
      </c>
      <c r="Q131"/>
      <c r="R131"/>
      <c r="S131"/>
      <c r="T131"/>
      <c r="U131"/>
      <c r="AD131"/>
      <c r="AE131" s="81"/>
      <c r="AF131" s="80"/>
    </row>
    <row r="132" spans="1:32" s="5" customFormat="1">
      <c r="A132" s="445" t="s">
        <v>489</v>
      </c>
      <c r="B132" s="332">
        <f>B126+'UAT9-Sep'!B134</f>
        <v>8337000</v>
      </c>
      <c r="C132" s="332">
        <f>C126+'UAT9-Sep'!C134</f>
        <v>8772750</v>
      </c>
      <c r="D132" s="332">
        <f>D126+'UAT9-Sep'!D134</f>
        <v>1598750</v>
      </c>
      <c r="E132" s="332">
        <f>E126+'UAT9-Sep'!E134</f>
        <v>8557500</v>
      </c>
      <c r="F132" s="332">
        <f>F126+'UAT9-Sep'!F134</f>
        <v>0</v>
      </c>
      <c r="G132" s="332">
        <f>G126+'UAT9-Sep'!G134</f>
        <v>0</v>
      </c>
      <c r="H132" s="332">
        <f>H126+'UAT9-Sep'!H134</f>
        <v>4323000</v>
      </c>
      <c r="I132" s="332">
        <f>I126+'UAT9-Sep'!I134</f>
        <v>4800000</v>
      </c>
      <c r="J132" s="332">
        <f>J126+'UAT9-Sep'!J134</f>
        <v>34878000</v>
      </c>
      <c r="K132" s="332">
        <f>K126+'UAT9-Sep'!K134</f>
        <v>0</v>
      </c>
      <c r="L132" s="332">
        <f>L126+'UAT9-Sep'!L134</f>
        <v>28263500</v>
      </c>
      <c r="M132" s="332">
        <f>M126+'UAT9-Sep'!M134</f>
        <v>0</v>
      </c>
      <c r="N132" s="332">
        <f>N126+'UAT9-Sep'!N134</f>
        <v>0</v>
      </c>
      <c r="O132" s="400">
        <f>O126+'UAT9-Sep'!O134</f>
        <v>0</v>
      </c>
      <c r="P132" s="346">
        <f t="shared" si="38"/>
        <v>99530500</v>
      </c>
      <c r="Q132"/>
      <c r="R132"/>
      <c r="S132"/>
      <c r="T132"/>
      <c r="U132"/>
      <c r="AD132"/>
      <c r="AE132" s="81"/>
      <c r="AF132" s="80"/>
    </row>
    <row r="133" spans="1:32" s="5" customFormat="1">
      <c r="A133" s="412"/>
      <c r="B133" s="14"/>
      <c r="C133" s="7"/>
      <c r="D133" s="7"/>
      <c r="E133" s="322"/>
      <c r="F133" s="7"/>
      <c r="G133" s="7"/>
      <c r="H133" s="7"/>
      <c r="I133" s="7"/>
      <c r="J133" s="7"/>
      <c r="K133" s="322"/>
      <c r="L133" s="322"/>
      <c r="M133" s="322"/>
      <c r="N133" s="322"/>
      <c r="O133" s="381"/>
      <c r="P133" s="346"/>
      <c r="Q133"/>
      <c r="R133"/>
      <c r="S133"/>
      <c r="T133"/>
      <c r="U133"/>
      <c r="AD133"/>
      <c r="AE133" s="81"/>
      <c r="AF133" s="80"/>
    </row>
    <row r="134" spans="1:32">
      <c r="A134" s="463" t="s">
        <v>810</v>
      </c>
      <c r="B134" s="563">
        <f t="shared" ref="B134:O134" si="46">B102</f>
        <v>0</v>
      </c>
      <c r="C134" s="563">
        <f t="shared" si="46"/>
        <v>0</v>
      </c>
      <c r="D134" s="563">
        <f t="shared" si="46"/>
        <v>0</v>
      </c>
      <c r="E134" s="563">
        <f t="shared" si="46"/>
        <v>0</v>
      </c>
      <c r="F134" s="563">
        <f t="shared" si="46"/>
        <v>0</v>
      </c>
      <c r="G134" s="563">
        <f t="shared" si="46"/>
        <v>0</v>
      </c>
      <c r="H134" s="563">
        <f t="shared" si="46"/>
        <v>0</v>
      </c>
      <c r="I134" s="563">
        <f t="shared" si="46"/>
        <v>0</v>
      </c>
      <c r="J134" s="563">
        <f t="shared" si="46"/>
        <v>0</v>
      </c>
      <c r="K134" s="563">
        <f t="shared" si="46"/>
        <v>0</v>
      </c>
      <c r="L134" s="563">
        <f t="shared" si="46"/>
        <v>0</v>
      </c>
      <c r="M134" s="563">
        <f t="shared" si="46"/>
        <v>0</v>
      </c>
      <c r="N134" s="563">
        <f t="shared" si="46"/>
        <v>0</v>
      </c>
      <c r="O134" s="564">
        <f t="shared" si="46"/>
        <v>0</v>
      </c>
      <c r="P134" s="558">
        <f t="shared" si="38"/>
        <v>0</v>
      </c>
      <c r="AE134" s="81"/>
      <c r="AF134" s="81"/>
    </row>
    <row r="135" spans="1:32">
      <c r="A135" s="463" t="s">
        <v>789</v>
      </c>
      <c r="B135" s="563">
        <f t="shared" ref="B135:O135" si="47">B104</f>
        <v>0</v>
      </c>
      <c r="C135" s="563">
        <f t="shared" si="47"/>
        <v>0</v>
      </c>
      <c r="D135" s="563">
        <f t="shared" si="47"/>
        <v>0</v>
      </c>
      <c r="E135" s="563">
        <f t="shared" si="47"/>
        <v>0</v>
      </c>
      <c r="F135" s="563">
        <f t="shared" si="47"/>
        <v>0</v>
      </c>
      <c r="G135" s="563">
        <f t="shared" si="47"/>
        <v>0</v>
      </c>
      <c r="H135" s="563">
        <f t="shared" si="47"/>
        <v>0</v>
      </c>
      <c r="I135" s="563">
        <f t="shared" si="47"/>
        <v>0</v>
      </c>
      <c r="J135" s="563">
        <f t="shared" si="47"/>
        <v>0</v>
      </c>
      <c r="K135" s="563">
        <f t="shared" si="47"/>
        <v>0</v>
      </c>
      <c r="L135" s="563">
        <f t="shared" si="47"/>
        <v>0</v>
      </c>
      <c r="M135" s="563">
        <f t="shared" si="47"/>
        <v>0</v>
      </c>
      <c r="N135" s="563">
        <f t="shared" si="47"/>
        <v>0</v>
      </c>
      <c r="O135" s="564">
        <f t="shared" si="47"/>
        <v>0</v>
      </c>
      <c r="P135" s="558">
        <f t="shared" si="38"/>
        <v>0</v>
      </c>
      <c r="AE135" s="81"/>
      <c r="AF135" s="81"/>
    </row>
    <row r="136" spans="1:32">
      <c r="A136" s="463" t="s">
        <v>786</v>
      </c>
      <c r="B136" s="563">
        <f t="shared" ref="B136:O136" si="48">B98</f>
        <v>0</v>
      </c>
      <c r="C136" s="563">
        <f t="shared" si="48"/>
        <v>0</v>
      </c>
      <c r="D136" s="563">
        <f t="shared" si="48"/>
        <v>0</v>
      </c>
      <c r="E136" s="563">
        <f t="shared" si="48"/>
        <v>0</v>
      </c>
      <c r="F136" s="563">
        <f t="shared" si="48"/>
        <v>0</v>
      </c>
      <c r="G136" s="563">
        <f t="shared" si="48"/>
        <v>0</v>
      </c>
      <c r="H136" s="563">
        <f t="shared" si="48"/>
        <v>0</v>
      </c>
      <c r="I136" s="563">
        <f t="shared" si="48"/>
        <v>0</v>
      </c>
      <c r="J136" s="563">
        <f t="shared" si="48"/>
        <v>0</v>
      </c>
      <c r="K136" s="563">
        <f t="shared" si="48"/>
        <v>0</v>
      </c>
      <c r="L136" s="563">
        <f t="shared" si="48"/>
        <v>0</v>
      </c>
      <c r="M136" s="563">
        <f t="shared" si="48"/>
        <v>0</v>
      </c>
      <c r="N136" s="563">
        <f t="shared" si="48"/>
        <v>0</v>
      </c>
      <c r="O136" s="564">
        <f t="shared" si="48"/>
        <v>0</v>
      </c>
      <c r="P136" s="558">
        <f t="shared" si="38"/>
        <v>0</v>
      </c>
      <c r="AE136" s="81"/>
      <c r="AF136" s="81"/>
    </row>
    <row r="137" spans="1:32">
      <c r="A137" s="463" t="s">
        <v>811</v>
      </c>
      <c r="B137" s="563">
        <f t="shared" ref="B137:O137" si="49">B103</f>
        <v>0</v>
      </c>
      <c r="C137" s="563">
        <f t="shared" si="49"/>
        <v>0</v>
      </c>
      <c r="D137" s="563">
        <f t="shared" si="49"/>
        <v>0</v>
      </c>
      <c r="E137" s="563">
        <f t="shared" si="49"/>
        <v>0</v>
      </c>
      <c r="F137" s="563">
        <f t="shared" si="49"/>
        <v>0</v>
      </c>
      <c r="G137" s="563">
        <f t="shared" si="49"/>
        <v>0</v>
      </c>
      <c r="H137" s="563">
        <f t="shared" si="49"/>
        <v>0</v>
      </c>
      <c r="I137" s="563">
        <f t="shared" si="49"/>
        <v>0</v>
      </c>
      <c r="J137" s="563">
        <f t="shared" si="49"/>
        <v>0</v>
      </c>
      <c r="K137" s="563">
        <f t="shared" si="49"/>
        <v>0</v>
      </c>
      <c r="L137" s="563">
        <f t="shared" si="49"/>
        <v>0</v>
      </c>
      <c r="M137" s="563">
        <f t="shared" si="49"/>
        <v>0</v>
      </c>
      <c r="N137" s="563">
        <f t="shared" si="49"/>
        <v>0</v>
      </c>
      <c r="O137" s="564">
        <f t="shared" si="49"/>
        <v>0</v>
      </c>
      <c r="P137" s="558">
        <f t="shared" si="38"/>
        <v>0</v>
      </c>
    </row>
    <row r="138" spans="1:32">
      <c r="A138" s="463" t="s">
        <v>812</v>
      </c>
      <c r="B138" s="563">
        <f t="shared" ref="B138:O138" si="50">B105</f>
        <v>0</v>
      </c>
      <c r="C138" s="563">
        <f t="shared" si="50"/>
        <v>0</v>
      </c>
      <c r="D138" s="563">
        <f t="shared" si="50"/>
        <v>0</v>
      </c>
      <c r="E138" s="563">
        <f t="shared" si="50"/>
        <v>0</v>
      </c>
      <c r="F138" s="563">
        <f t="shared" si="50"/>
        <v>0</v>
      </c>
      <c r="G138" s="563">
        <f t="shared" si="50"/>
        <v>0</v>
      </c>
      <c r="H138" s="563">
        <f t="shared" si="50"/>
        <v>0</v>
      </c>
      <c r="I138" s="563">
        <f t="shared" si="50"/>
        <v>0</v>
      </c>
      <c r="J138" s="563">
        <f t="shared" si="50"/>
        <v>0</v>
      </c>
      <c r="K138" s="563">
        <f t="shared" si="50"/>
        <v>0</v>
      </c>
      <c r="L138" s="563">
        <f t="shared" si="50"/>
        <v>0</v>
      </c>
      <c r="M138" s="563">
        <f t="shared" si="50"/>
        <v>0</v>
      </c>
      <c r="N138" s="563">
        <f t="shared" si="50"/>
        <v>0</v>
      </c>
      <c r="O138" s="564">
        <f t="shared" si="50"/>
        <v>0</v>
      </c>
      <c r="P138" s="558">
        <f t="shared" si="38"/>
        <v>0</v>
      </c>
    </row>
    <row r="139" spans="1:32">
      <c r="A139" s="463" t="s">
        <v>814</v>
      </c>
      <c r="B139" s="563">
        <f t="shared" ref="B139:O139" si="51">B97</f>
        <v>0</v>
      </c>
      <c r="C139" s="563">
        <f t="shared" si="51"/>
        <v>0</v>
      </c>
      <c r="D139" s="563">
        <f t="shared" si="51"/>
        <v>0</v>
      </c>
      <c r="E139" s="563">
        <f t="shared" si="51"/>
        <v>0</v>
      </c>
      <c r="F139" s="563">
        <f t="shared" si="51"/>
        <v>0</v>
      </c>
      <c r="G139" s="563">
        <f t="shared" si="51"/>
        <v>0</v>
      </c>
      <c r="H139" s="563">
        <f t="shared" si="51"/>
        <v>0</v>
      </c>
      <c r="I139" s="563">
        <f t="shared" si="51"/>
        <v>0</v>
      </c>
      <c r="J139" s="563">
        <f t="shared" si="51"/>
        <v>0</v>
      </c>
      <c r="K139" s="563">
        <f t="shared" si="51"/>
        <v>0</v>
      </c>
      <c r="L139" s="563">
        <f t="shared" si="51"/>
        <v>0</v>
      </c>
      <c r="M139" s="563">
        <f t="shared" si="51"/>
        <v>0</v>
      </c>
      <c r="N139" s="563">
        <f t="shared" si="51"/>
        <v>0</v>
      </c>
      <c r="O139" s="564">
        <f t="shared" si="51"/>
        <v>0</v>
      </c>
      <c r="P139" s="558">
        <f t="shared" si="38"/>
        <v>0</v>
      </c>
    </row>
    <row r="140" spans="1:32">
      <c r="A140" s="506" t="s">
        <v>813</v>
      </c>
      <c r="B140" s="563">
        <f t="shared" ref="B140:O140" si="52">B95</f>
        <v>0</v>
      </c>
      <c r="C140" s="563">
        <f t="shared" si="52"/>
        <v>0</v>
      </c>
      <c r="D140" s="563">
        <f t="shared" si="52"/>
        <v>0</v>
      </c>
      <c r="E140" s="563">
        <f t="shared" si="52"/>
        <v>0</v>
      </c>
      <c r="F140" s="563">
        <f t="shared" si="52"/>
        <v>0</v>
      </c>
      <c r="G140" s="563">
        <f t="shared" si="52"/>
        <v>0</v>
      </c>
      <c r="H140" s="563">
        <f t="shared" si="52"/>
        <v>0</v>
      </c>
      <c r="I140" s="563">
        <f t="shared" si="52"/>
        <v>0</v>
      </c>
      <c r="J140" s="563">
        <f t="shared" si="52"/>
        <v>0</v>
      </c>
      <c r="K140" s="563">
        <f t="shared" si="52"/>
        <v>0</v>
      </c>
      <c r="L140" s="563">
        <f t="shared" si="52"/>
        <v>0</v>
      </c>
      <c r="M140" s="563">
        <f t="shared" si="52"/>
        <v>0</v>
      </c>
      <c r="N140" s="563">
        <f t="shared" si="52"/>
        <v>0</v>
      </c>
      <c r="O140" s="564">
        <f t="shared" si="52"/>
        <v>0</v>
      </c>
      <c r="P140" s="558">
        <f t="shared" si="38"/>
        <v>0</v>
      </c>
    </row>
    <row r="141" spans="1:32">
      <c r="A141" s="463" t="s">
        <v>815</v>
      </c>
      <c r="B141" s="563">
        <f t="shared" ref="B141:O141" si="53">B96</f>
        <v>0</v>
      </c>
      <c r="C141" s="563">
        <f t="shared" si="53"/>
        <v>0</v>
      </c>
      <c r="D141" s="563">
        <f t="shared" si="53"/>
        <v>0</v>
      </c>
      <c r="E141" s="563">
        <f t="shared" si="53"/>
        <v>0</v>
      </c>
      <c r="F141" s="563">
        <f t="shared" si="53"/>
        <v>0</v>
      </c>
      <c r="G141" s="563">
        <f t="shared" si="53"/>
        <v>0</v>
      </c>
      <c r="H141" s="563">
        <f t="shared" si="53"/>
        <v>0</v>
      </c>
      <c r="I141" s="563">
        <f t="shared" si="53"/>
        <v>0</v>
      </c>
      <c r="J141" s="563">
        <f t="shared" si="53"/>
        <v>0</v>
      </c>
      <c r="K141" s="563">
        <f t="shared" si="53"/>
        <v>0</v>
      </c>
      <c r="L141" s="563">
        <f t="shared" si="53"/>
        <v>0</v>
      </c>
      <c r="M141" s="563">
        <f t="shared" si="53"/>
        <v>0</v>
      </c>
      <c r="N141" s="563">
        <f t="shared" si="53"/>
        <v>0</v>
      </c>
      <c r="O141" s="564">
        <f t="shared" si="53"/>
        <v>0</v>
      </c>
      <c r="P141" s="558">
        <f t="shared" si="38"/>
        <v>0</v>
      </c>
    </row>
    <row r="142" spans="1:32">
      <c r="A142" s="463" t="s">
        <v>787</v>
      </c>
      <c r="B142" s="563">
        <f t="shared" ref="B142:C144" si="54">B99</f>
        <v>0</v>
      </c>
      <c r="C142" s="563">
        <f t="shared" si="54"/>
        <v>0</v>
      </c>
      <c r="D142" s="563">
        <f>AD66</f>
        <v>0</v>
      </c>
      <c r="E142" s="563">
        <f t="shared" ref="E142:O142" si="55">E99</f>
        <v>21</v>
      </c>
      <c r="F142" s="563">
        <f t="shared" si="55"/>
        <v>0</v>
      </c>
      <c r="G142" s="563">
        <f t="shared" si="55"/>
        <v>0</v>
      </c>
      <c r="H142" s="563">
        <f t="shared" si="55"/>
        <v>19</v>
      </c>
      <c r="I142" s="563">
        <f t="shared" si="55"/>
        <v>0</v>
      </c>
      <c r="J142" s="563">
        <f t="shared" si="55"/>
        <v>0</v>
      </c>
      <c r="K142" s="563">
        <f t="shared" si="55"/>
        <v>0</v>
      </c>
      <c r="L142" s="563">
        <f t="shared" si="55"/>
        <v>0</v>
      </c>
      <c r="M142" s="563">
        <f t="shared" si="55"/>
        <v>0</v>
      </c>
      <c r="N142" s="563">
        <f t="shared" si="55"/>
        <v>0</v>
      </c>
      <c r="O142" s="564">
        <f t="shared" si="55"/>
        <v>0</v>
      </c>
      <c r="P142" s="558">
        <f t="shared" si="38"/>
        <v>40</v>
      </c>
    </row>
    <row r="143" spans="1:32">
      <c r="A143" s="463" t="s">
        <v>788</v>
      </c>
      <c r="B143" s="563">
        <f t="shared" si="54"/>
        <v>0</v>
      </c>
      <c r="C143" s="563">
        <f t="shared" si="54"/>
        <v>0</v>
      </c>
      <c r="D143" s="563">
        <f>D100</f>
        <v>0</v>
      </c>
      <c r="E143" s="563">
        <f t="shared" ref="E143:O143" si="56">E100</f>
        <v>0</v>
      </c>
      <c r="F143" s="563">
        <f t="shared" si="56"/>
        <v>0</v>
      </c>
      <c r="G143" s="563">
        <f t="shared" si="56"/>
        <v>0</v>
      </c>
      <c r="H143" s="563">
        <f t="shared" si="56"/>
        <v>0</v>
      </c>
      <c r="I143" s="563">
        <f t="shared" si="56"/>
        <v>0</v>
      </c>
      <c r="J143" s="563">
        <f t="shared" si="56"/>
        <v>0</v>
      </c>
      <c r="K143" s="563">
        <f t="shared" si="56"/>
        <v>0</v>
      </c>
      <c r="L143" s="563">
        <f t="shared" si="56"/>
        <v>0</v>
      </c>
      <c r="M143" s="563">
        <f t="shared" si="56"/>
        <v>0</v>
      </c>
      <c r="N143" s="563">
        <f t="shared" si="56"/>
        <v>0</v>
      </c>
      <c r="O143" s="564">
        <f t="shared" si="56"/>
        <v>0</v>
      </c>
      <c r="P143" s="558">
        <f t="shared" si="38"/>
        <v>0</v>
      </c>
    </row>
    <row r="144" spans="1:32">
      <c r="A144" s="463" t="s">
        <v>816</v>
      </c>
      <c r="B144" s="563">
        <f t="shared" si="54"/>
        <v>0</v>
      </c>
      <c r="C144" s="563">
        <f t="shared" si="54"/>
        <v>0</v>
      </c>
      <c r="D144" s="563">
        <f>D101</f>
        <v>0</v>
      </c>
      <c r="E144" s="563">
        <f t="shared" ref="E144:O144" si="57">E101</f>
        <v>0</v>
      </c>
      <c r="F144" s="563">
        <f t="shared" si="57"/>
        <v>0</v>
      </c>
      <c r="G144" s="563">
        <f t="shared" si="57"/>
        <v>0</v>
      </c>
      <c r="H144" s="563">
        <f t="shared" si="57"/>
        <v>0</v>
      </c>
      <c r="I144" s="563">
        <f t="shared" si="57"/>
        <v>0</v>
      </c>
      <c r="J144" s="563">
        <f t="shared" si="57"/>
        <v>0</v>
      </c>
      <c r="K144" s="563">
        <f t="shared" si="57"/>
        <v>0</v>
      </c>
      <c r="L144" s="563">
        <f t="shared" si="57"/>
        <v>0</v>
      </c>
      <c r="M144" s="563">
        <f t="shared" si="57"/>
        <v>0</v>
      </c>
      <c r="N144" s="563">
        <f t="shared" si="57"/>
        <v>0</v>
      </c>
      <c r="O144" s="564">
        <f t="shared" si="57"/>
        <v>0</v>
      </c>
      <c r="P144" s="558">
        <f t="shared" si="38"/>
        <v>0</v>
      </c>
      <c r="Q144" s="291"/>
      <c r="R144" s="291"/>
      <c r="S144" s="291"/>
      <c r="T144" s="291"/>
      <c r="U144" s="291"/>
    </row>
    <row r="145" spans="1:16">
      <c r="A145" s="535"/>
      <c r="B145" s="565"/>
      <c r="C145" s="565"/>
      <c r="D145" s="565"/>
      <c r="E145" s="565"/>
      <c r="F145" s="565"/>
      <c r="G145" s="565"/>
      <c r="H145" s="565"/>
      <c r="I145" s="565"/>
      <c r="J145" s="565"/>
      <c r="K145" s="565"/>
      <c r="L145" s="565"/>
      <c r="M145" s="565"/>
      <c r="N145" s="565"/>
      <c r="O145" s="566"/>
      <c r="P145" s="567"/>
    </row>
    <row r="146" spans="1:16">
      <c r="A146" s="463" t="s">
        <v>841</v>
      </c>
      <c r="B146" s="438">
        <f>ROUND(('UAT9-Sep'!B112+'UAT9-Sep'!B113)*B142,0)+'UAT9-Sep'!B148</f>
        <v>0</v>
      </c>
      <c r="C146" s="438">
        <f>ROUND(('UAT9-Sep'!C112+'UAT9-Sep'!C113)*C142,0)+'UAT9-Sep'!C148</f>
        <v>0</v>
      </c>
      <c r="D146" s="438">
        <f>ROUND(('UAT9-Sep'!D112+'UAT9-Sep'!D113)*D142,0)+'UAT9-Sep'!D148</f>
        <v>0</v>
      </c>
      <c r="E146" s="438">
        <f>ROUND(('UAT9-Sep'!E112+'UAT9-Sep'!E113)*E142,0)+'UAT9-Sep'!E148</f>
        <v>35705013</v>
      </c>
      <c r="F146" s="438">
        <f>ROUND(('UAT9-Sep'!F112+'UAT9-Sep'!F113)*F142,0)+'UAT9-Sep'!F148</f>
        <v>0</v>
      </c>
      <c r="G146" s="438">
        <f>ROUND(('UAT9-Sep'!G112+'UAT9-Sep'!G113)*G142,0)+'UAT9-Sep'!G148</f>
        <v>0</v>
      </c>
      <c r="H146" s="438">
        <f>ROUND(('UAT9-Sep'!H112+'UAT9-Sep'!H113)*H142,0)+'UAT9-Sep'!H148</f>
        <v>248185513</v>
      </c>
      <c r="I146" s="438">
        <f>ROUND(('UAT9-Sep'!I112+'UAT9-Sep'!I113)*I142,0)+'UAT9-Sep'!I148</f>
        <v>0</v>
      </c>
      <c r="J146" s="438">
        <f>ROUND(('UAT9-Sep'!J112+'UAT9-Sep'!J113)*J142,0)+'UAT9-Sep'!J148</f>
        <v>0</v>
      </c>
      <c r="K146" s="438">
        <f>ROUND(('UAT9-Sep'!K112+'UAT9-Sep'!K113)*K142,0)+'UAT9-Sep'!K148</f>
        <v>0</v>
      </c>
      <c r="L146" s="438">
        <f>ROUND(('UAT9-Sep'!L112+'UAT9-Sep'!L113)*L142,0)+'UAT9-Sep'!L148</f>
        <v>0</v>
      </c>
      <c r="M146" s="438">
        <f>ROUND(('UAT9-Sep'!M112+'UAT9-Sep'!M113)*M142,0)+'UAT9-Sep'!M148</f>
        <v>0</v>
      </c>
      <c r="N146" s="438">
        <f>ROUND(('UAT9-Sep'!N112+'UAT9-Sep'!N113)*N142,0)+'UAT9-Sep'!N148</f>
        <v>0</v>
      </c>
      <c r="O146" s="511">
        <f>ROUND(('UAT9-Sep'!O112+'UAT9-Sep'!O113)*O142,0)+'UAT9-Sep'!O148</f>
        <v>0</v>
      </c>
      <c r="P146" s="558">
        <f t="shared" si="38"/>
        <v>283890526</v>
      </c>
    </row>
    <row r="147" spans="1:16">
      <c r="A147" s="463" t="s">
        <v>842</v>
      </c>
      <c r="B147" s="438">
        <f>ROUND(('UAT9-Sep'!B112+'UAT9-Sep'!B113)*(B143+B144+B135),0)+'UAT9-Sep'!B149</f>
        <v>0</v>
      </c>
      <c r="C147" s="438">
        <f>ROUND(('UAT9-Sep'!C112+'UAT9-Sep'!C113)*(C143+C144+C135),0)+'UAT9-Sep'!C149</f>
        <v>415682</v>
      </c>
      <c r="D147" s="438">
        <f>ROUND(('UAT9-Sep'!D112+'UAT9-Sep'!D113)*(D143+D144+D135),0)+'UAT9-Sep'!D149</f>
        <v>0</v>
      </c>
      <c r="E147" s="438">
        <f>ROUND(('UAT9-Sep'!E112+'UAT9-Sep'!E113)*(E143+E144+E135),0)+'UAT9-Sep'!E149</f>
        <v>0</v>
      </c>
      <c r="F147" s="438">
        <f>ROUND(('UAT9-Sep'!F112+'UAT9-Sep'!F113)*(F143+F144+F135),0)+'UAT9-Sep'!F149</f>
        <v>0</v>
      </c>
      <c r="G147" s="438">
        <f>ROUND(('UAT9-Sep'!G112+'UAT9-Sep'!G113)*(G143+G144+G135),0)+'UAT9-Sep'!G149</f>
        <v>0</v>
      </c>
      <c r="H147" s="438">
        <f>ROUND(('UAT9-Sep'!H112+'UAT9-Sep'!H113)*(H143+H144+H135),0)+'UAT9-Sep'!H149</f>
        <v>0</v>
      </c>
      <c r="I147" s="438">
        <f>ROUND(('UAT9-Sep'!I112+'UAT9-Sep'!I113)*(I143+I144+I135),0)+'UAT9-Sep'!I149</f>
        <v>0</v>
      </c>
      <c r="J147" s="438">
        <f>ROUND(('UAT9-Sep'!J112+'UAT9-Sep'!J113)*(J143+J144+J135),0)+'UAT9-Sep'!J149</f>
        <v>0</v>
      </c>
      <c r="K147" s="438">
        <f>ROUND(('UAT9-Sep'!K112+'UAT9-Sep'!K113)*(K143+K144+K135),0)+'UAT9-Sep'!K149</f>
        <v>6335454</v>
      </c>
      <c r="L147" s="438">
        <f>ROUND(('UAT9-Sep'!L112+'UAT9-Sep'!L113)*(L143+L144+L135),0)+'UAT9-Sep'!L149</f>
        <v>5926362</v>
      </c>
      <c r="M147" s="438">
        <f>ROUND(('UAT9-Sep'!M112+'UAT9-Sep'!M113)*(M143+M144+M135),0)+'UAT9-Sep'!M149</f>
        <v>0</v>
      </c>
      <c r="N147" s="438">
        <f>ROUND(('UAT9-Sep'!N112+'UAT9-Sep'!N113)*(N143+N144+N135),0)+'UAT9-Sep'!N149</f>
        <v>0</v>
      </c>
      <c r="O147" s="511">
        <f>ROUND(('UAT9-Sep'!O112+'UAT9-Sep'!O113)*(O143+O144+O135),0)+'UAT9-Sep'!O149</f>
        <v>0</v>
      </c>
      <c r="P147" s="558">
        <f t="shared" si="38"/>
        <v>12677498</v>
      </c>
    </row>
    <row r="148" spans="1:16">
      <c r="A148" s="445"/>
      <c r="B148" s="332"/>
      <c r="C148" s="332"/>
      <c r="D148" s="332"/>
      <c r="E148" s="332"/>
      <c r="F148" s="332"/>
      <c r="G148" s="332"/>
      <c r="H148" s="332"/>
      <c r="I148" s="332"/>
      <c r="J148" s="332"/>
      <c r="K148" s="332"/>
      <c r="L148" s="332"/>
      <c r="M148" s="332"/>
      <c r="N148" s="332"/>
      <c r="O148" s="400"/>
      <c r="P148" s="557"/>
    </row>
    <row r="149" spans="1:16" ht="15.6">
      <c r="A149" s="411" t="s">
        <v>825</v>
      </c>
      <c r="B149" s="14"/>
      <c r="C149" s="7"/>
      <c r="D149" s="7"/>
      <c r="E149" s="322"/>
      <c r="F149" s="7"/>
      <c r="G149" s="7"/>
      <c r="H149" s="7"/>
      <c r="I149" s="7"/>
      <c r="J149" s="7"/>
      <c r="K149" s="322"/>
      <c r="L149" s="322"/>
      <c r="M149" s="322"/>
      <c r="N149" s="322"/>
      <c r="O149" s="381"/>
      <c r="P149" s="557"/>
    </row>
    <row r="150" spans="1:16">
      <c r="A150" s="445" t="s">
        <v>432</v>
      </c>
      <c r="B150" s="549">
        <f>'UAT9-Sep'!B152</f>
        <v>150</v>
      </c>
      <c r="C150" s="549">
        <f>'UAT9-Sep'!C152</f>
        <v>68</v>
      </c>
      <c r="D150" s="549">
        <f>ROUND(20*8*(31+30+31)/365,0)</f>
        <v>40</v>
      </c>
      <c r="E150" s="549">
        <f>'UAT9-Sep'!E152</f>
        <v>160</v>
      </c>
      <c r="F150" s="549">
        <f>'UAT9-Sep'!F152</f>
        <v>128</v>
      </c>
      <c r="G150" s="549">
        <f>'UAT9-Sep'!G152</f>
        <v>0</v>
      </c>
      <c r="H150" s="549">
        <f>'UAT9-Sep'!H152</f>
        <v>80</v>
      </c>
      <c r="I150" s="549">
        <f>'UAT9-Sep'!I152</f>
        <v>0</v>
      </c>
      <c r="J150" s="549">
        <f>'UAT9-Sep'!J152</f>
        <v>44</v>
      </c>
      <c r="K150" s="549">
        <f>'UAT9-Sep'!K152</f>
        <v>160</v>
      </c>
      <c r="L150" s="549">
        <f>'UAT9-Sep'!L152</f>
        <v>160</v>
      </c>
      <c r="M150" s="549">
        <f>'UAT9-Sep'!M152</f>
        <v>155</v>
      </c>
      <c r="N150" s="549">
        <f>'UAT9-Sep'!N152</f>
        <v>155</v>
      </c>
      <c r="O150" s="550">
        <f>'UAT9-Sep'!O152</f>
        <v>0</v>
      </c>
      <c r="P150" s="557">
        <f t="shared" si="38"/>
        <v>1300</v>
      </c>
    </row>
    <row r="151" spans="1:16">
      <c r="A151" s="445" t="s">
        <v>433</v>
      </c>
      <c r="B151" s="549">
        <f>'UAT9-Sep'!B153</f>
        <v>79</v>
      </c>
      <c r="C151" s="549">
        <f>'UAT9-Sep'!C153</f>
        <v>-44</v>
      </c>
      <c r="D151" s="549">
        <f>ROUND(10*8*(31+30+31)/365,0)</f>
        <v>20</v>
      </c>
      <c r="E151" s="549">
        <f>'UAT9-Sep'!E153</f>
        <v>80</v>
      </c>
      <c r="F151" s="549">
        <f>'UAT9-Sep'!F153</f>
        <v>64</v>
      </c>
      <c r="G151" s="549">
        <f>'UAT9-Sep'!G153</f>
        <v>0</v>
      </c>
      <c r="H151" s="549">
        <f>'UAT9-Sep'!H153</f>
        <v>40</v>
      </c>
      <c r="I151" s="549">
        <f>'UAT9-Sep'!I153</f>
        <v>0</v>
      </c>
      <c r="J151" s="549">
        <f>'UAT9-Sep'!J153</f>
        <v>22</v>
      </c>
      <c r="K151" s="549">
        <f>'UAT9-Sep'!K153</f>
        <v>80</v>
      </c>
      <c r="L151" s="549">
        <f>'UAT9-Sep'!L153</f>
        <v>80</v>
      </c>
      <c r="M151" s="549">
        <f>'UAT9-Sep'!M153</f>
        <v>77</v>
      </c>
      <c r="N151" s="549">
        <f>'UAT9-Sep'!N153</f>
        <v>77</v>
      </c>
      <c r="O151" s="550">
        <f>'UAT9-Sep'!O153</f>
        <v>0</v>
      </c>
      <c r="P151" s="557">
        <f t="shared" si="38"/>
        <v>575</v>
      </c>
    </row>
    <row r="152" spans="1:16">
      <c r="A152" s="445" t="s">
        <v>434</v>
      </c>
      <c r="B152" s="555">
        <f>'UAT9-Sep'!B154</f>
        <v>0</v>
      </c>
      <c r="C152" s="555">
        <f>'UAT9-Sep'!C154</f>
        <v>23.21</v>
      </c>
      <c r="D152" s="555">
        <f>'UAT9-Sep'!D154</f>
        <v>0</v>
      </c>
      <c r="E152" s="555">
        <f>'UAT9-Sep'!E154</f>
        <v>0</v>
      </c>
      <c r="F152" s="555">
        <f>'UAT9-Sep'!F154</f>
        <v>22.01</v>
      </c>
      <c r="G152" s="555">
        <f>'UAT9-Sep'!G154</f>
        <v>0</v>
      </c>
      <c r="H152" s="555">
        <f>'UAT9-Sep'!H154</f>
        <v>0</v>
      </c>
      <c r="I152" s="555">
        <f>'UAT9-Sep'!I154</f>
        <v>0</v>
      </c>
      <c r="J152" s="555">
        <f>'UAT9-Sep'!J154</f>
        <v>0</v>
      </c>
      <c r="K152" s="555">
        <f>'UAT9-Sep'!K154</f>
        <v>0</v>
      </c>
      <c r="L152" s="555">
        <f>'UAT9-Sep'!L154</f>
        <v>0</v>
      </c>
      <c r="M152" s="555">
        <f>'UAT9-Sep'!M154</f>
        <v>0</v>
      </c>
      <c r="N152" s="555">
        <f>'UAT9-Sep'!N154</f>
        <v>0</v>
      </c>
      <c r="O152" s="556">
        <f>'UAT9-Sep'!O154</f>
        <v>0</v>
      </c>
      <c r="P152" s="584">
        <f t="shared" si="38"/>
        <v>45.22</v>
      </c>
    </row>
    <row r="153" spans="1:16">
      <c r="A153" s="445" t="s">
        <v>435</v>
      </c>
      <c r="B153" s="555">
        <f>'UAT9-Sep'!B155</f>
        <v>4.54</v>
      </c>
      <c r="C153" s="555">
        <f>'UAT9-Sep'!C155</f>
        <v>0</v>
      </c>
      <c r="D153" s="555">
        <f>'UAT9-Sep'!D155</f>
        <v>0</v>
      </c>
      <c r="E153" s="555">
        <f>'UAT9-Sep'!E155</f>
        <v>0</v>
      </c>
      <c r="F153" s="555">
        <f>'UAT9-Sep'!F155</f>
        <v>0</v>
      </c>
      <c r="G153" s="555">
        <f>'UAT9-Sep'!G155</f>
        <v>0</v>
      </c>
      <c r="H153" s="555">
        <f>'UAT9-Sep'!H155</f>
        <v>0</v>
      </c>
      <c r="I153" s="555">
        <f>'UAT9-Sep'!I155</f>
        <v>0</v>
      </c>
      <c r="J153" s="555">
        <f>'UAT9-Sep'!J155</f>
        <v>0</v>
      </c>
      <c r="K153" s="555">
        <f>'UAT9-Sep'!K155</f>
        <v>5</v>
      </c>
      <c r="L153" s="555">
        <f>'UAT9-Sep'!L155</f>
        <v>4.5</v>
      </c>
      <c r="M153" s="555">
        <f>'UAT9-Sep'!M155</f>
        <v>0</v>
      </c>
      <c r="N153" s="555">
        <f>'UAT9-Sep'!N155</f>
        <v>0</v>
      </c>
      <c r="O153" s="556">
        <f>'UAT9-Sep'!O155</f>
        <v>0</v>
      </c>
      <c r="P153" s="584">
        <f t="shared" si="38"/>
        <v>14.04</v>
      </c>
    </row>
    <row r="154" spans="1:16">
      <c r="A154" s="445" t="s">
        <v>436</v>
      </c>
      <c r="B154" s="555">
        <f>'UAT9-Sep'!B156</f>
        <v>13.58</v>
      </c>
      <c r="C154" s="555">
        <f>'UAT9-Sep'!C156</f>
        <v>0</v>
      </c>
      <c r="D154" s="555">
        <f>'UAT9-Sep'!D156</f>
        <v>0</v>
      </c>
      <c r="E154" s="555">
        <f>'UAT9-Sep'!E156</f>
        <v>0</v>
      </c>
      <c r="F154" s="555">
        <f>'UAT9-Sep'!F156</f>
        <v>0</v>
      </c>
      <c r="G154" s="555">
        <f>'UAT9-Sep'!G156</f>
        <v>0</v>
      </c>
      <c r="H154" s="555">
        <f>'UAT9-Sep'!H156</f>
        <v>0</v>
      </c>
      <c r="I154" s="555">
        <f>'UAT9-Sep'!I156</f>
        <v>0</v>
      </c>
      <c r="J154" s="555">
        <f>'UAT9-Sep'!J156</f>
        <v>0</v>
      </c>
      <c r="K154" s="555">
        <f>'UAT9-Sep'!K156</f>
        <v>0</v>
      </c>
      <c r="L154" s="555">
        <f>'UAT9-Sep'!L156</f>
        <v>0</v>
      </c>
      <c r="M154" s="555">
        <f>'UAT9-Sep'!M156</f>
        <v>0</v>
      </c>
      <c r="N154" s="555">
        <f>'UAT9-Sep'!N156</f>
        <v>0</v>
      </c>
      <c r="O154" s="556">
        <f>'UAT9-Sep'!O156</f>
        <v>0</v>
      </c>
      <c r="P154" s="584">
        <f t="shared" si="38"/>
        <v>13.58</v>
      </c>
    </row>
    <row r="155" spans="1:16">
      <c r="A155" s="445"/>
      <c r="F155" s="5"/>
      <c r="G155" s="5"/>
      <c r="H155" s="5"/>
      <c r="I155" s="5"/>
      <c r="P155" s="347"/>
    </row>
    <row r="156" spans="1:16" ht="15.6">
      <c r="A156" s="411" t="s">
        <v>437</v>
      </c>
    </row>
    <row r="157" spans="1:16">
      <c r="A157" s="6" t="s">
        <v>863</v>
      </c>
      <c r="B157" s="551">
        <f>IF(OR(B11="S",B11="C"),0,IF(OR(B11="1",B11="3"),ROUND(20*8*B17/365,5),ROUND(20*'New Hire'!C24*B17/365,5)))+'UAT9-Sep'!B159</f>
        <v>125.26024999999998</v>
      </c>
      <c r="C157" s="551">
        <f>IF(OR(C11="S",C11="C"),0,IF(OR(C11="1",C11="3"),ROUND(20*8*C17/365,5),ROUND(20*'New Hire'!D24*C17/365,5)))+'UAT9-Sep'!C159</f>
        <v>88.492110000000011</v>
      </c>
      <c r="D157" s="551">
        <f>IF(OR(D11="S",D11="C"),0,IF(OR(D11="1",D11="3"),ROUND(20*8*D17/365,5),ROUND(20*'New Hire'!E24*D17/365,5)))+'UAT9-Sep'!D159</f>
        <v>13.589040000000001</v>
      </c>
      <c r="E157" s="551">
        <f>IF(OR(E11="S",E11="C"),0,IF(OR(E11="1",E11="3"),ROUND(20*8*E17/365,5),ROUND(20*'New Hire'!F24*E17/365,5)))+'UAT9-Sep'!E159</f>
        <v>133.26024999999998</v>
      </c>
      <c r="F157" s="551">
        <f>IF(OR(F11="S",F11="C"),0,IF(OR(F11="1",F11="3"),ROUND(20*8*F17/365,5),ROUND(20*'New Hire'!G24*F17/365,5)))+'UAT9-Sep'!F159</f>
        <v>106.60820999999999</v>
      </c>
      <c r="G157" s="551">
        <f>IF(OR(G11="S",G11="C"),0,IF(OR(G11="1",G11="3"),ROUND(20*8*G17/365,5),ROUND(20*'New Hire'!H24*G17/365,5)))+'UAT9-Sep'!G159</f>
        <v>0</v>
      </c>
      <c r="H157" s="551">
        <f>IF(OR(H11="S",H11="C"),0,IF(OR(H11="1",H11="3"),ROUND(20*8*H17/365,5),ROUND(20*'New Hire'!I24*H17/365,5)))+'UAT9-Sep'!H159</f>
        <v>66.630129999999994</v>
      </c>
      <c r="I157" s="551">
        <f>IF(OR(I11="S",I11="C"),0,IF(OR(I11="1",I11="3"),ROUND(20*8*I17/365,5),ROUND(20*'New Hire'!J24*I17/365,5)))+'UAT9-Sep'!I159</f>
        <v>0</v>
      </c>
      <c r="J157" s="551">
        <f>IF(OR(J11="S",J11="C"),0,IF(OR(J11="1",J11="3"),ROUND(20*8*J17/365,5),ROUND(20*'New Hire'!K24*J17/365,5)))+'UAT9-Sep'!J159</f>
        <v>36.29589</v>
      </c>
      <c r="K157" s="551">
        <f>IF(OR(K11="S",K11="C"),0,IF(OR(K11="1",K11="3"),ROUND(20*8*K17/365,5),ROUND(20*'New Hire'!L24*K17/365,5)))+'UAT9-Sep'!K159</f>
        <v>133.26024999999998</v>
      </c>
      <c r="L157" s="551">
        <f>IF(OR(L11="S",L11="C"),0,IF(OR(L11="1",L11="3"),ROUND(20*8*L17/365,5),ROUND(20*'New Hire'!M24*L17/365,5)))+'UAT9-Sep'!L159</f>
        <v>133.26024999999998</v>
      </c>
      <c r="M157" s="551">
        <f>IF(OR(M11="S",M11="C"),0,IF(OR(M11="1",M11="3"),ROUND(20*8*M17/365,5),ROUND(20*'New Hire'!N24*M17/365,5)))+'UAT9-Sep'!M159</f>
        <v>133.26024999999998</v>
      </c>
      <c r="N157" s="551">
        <f>IF(OR(N11="S",N11="C"),0,IF(OR(N11="1",N11="3"),ROUND(20*8*N17/365,5),ROUND(20*'New Hire'!O24*N17/365,5)))+'UAT9-Sep'!N159</f>
        <v>133.26024999999998</v>
      </c>
      <c r="O157" s="551">
        <v>0</v>
      </c>
    </row>
    <row r="158" spans="1:16">
      <c r="A158" s="6" t="s">
        <v>864</v>
      </c>
      <c r="B158" s="552">
        <f>IF(OR(B11="S",B11="C"),0,IF(OR(B11="1",B11="3"),ROUND(10*8*B17/365,5),ROUND(10*'New Hire'!C24*B17/365,5)))+'UAT9-Sep'!B160</f>
        <v>66.630129999999994</v>
      </c>
      <c r="C158" s="552">
        <f>IF(OR(C11="S",C11="C"),0,IF(OR(C11="1",C11="3"),ROUND(10*8*C17/365,5),ROUND(10*'New Hire'!D24*C17/365,5)))+'UAT9-Sep'!C160</f>
        <v>-33.753959999999999</v>
      </c>
      <c r="D158" s="552">
        <f>IF(OR(D11="S",D11="C"),0,IF(OR(D11="1",D11="3"),ROUND(10*8*D17/365,5),ROUND(10*'New Hire'!E24*D17/365,5)))+'UAT9-Sep'!D160</f>
        <v>6.7945200000000003</v>
      </c>
      <c r="E158" s="552">
        <f>IF(OR(E11="S",E11="C"),0,IF(OR(E11="1",E11="3"),ROUND(10*8*E17/365,5),ROUND(10*'New Hire'!F24*E17/365,5)))+'UAT9-Sep'!E160</f>
        <v>66.630129999999994</v>
      </c>
      <c r="F158" s="552">
        <f>IF(OR(F11="S",F11="C"),0,IF(OR(F11="1",F11="3"),ROUND(10*8*F17/365,5),ROUND(10*'New Hire'!G24*F17/365,5)))+'UAT9-Sep'!F160</f>
        <v>53.304119999999998</v>
      </c>
      <c r="G158" s="552">
        <f>IF(OR(G11="S",G11="C"),0,IF(OR(G11="1",G11="3"),ROUND(10*8*G17/365,5),ROUND(10*'New Hire'!H24*G17/365,5)))+'UAT9-Sep'!G160</f>
        <v>0</v>
      </c>
      <c r="H158" s="552">
        <f>IF(OR(H11="S",H11="C"),0,IF(OR(H11="1",H11="3"),ROUND(10*8*H17/365,5),ROUND(10*'New Hire'!I24*H17/365,5)))+'UAT9-Sep'!H160</f>
        <v>33.315059999999995</v>
      </c>
      <c r="I158" s="552">
        <f>IF(OR(I11="S",I11="C"),0,IF(OR(I11="1",I11="3"),ROUND(10*8*I17/365,5),ROUND(10*'New Hire'!J24*I17/365,5)))+'UAT9-Sep'!I160</f>
        <v>0</v>
      </c>
      <c r="J158" s="552">
        <f>IF(OR(J11="S",J11="C"),0,IF(OR(J11="1",J11="3"),ROUND(10*8*J17/365,5),ROUND(10*'New Hire'!K24*J17/365,5)))+'UAT9-Sep'!J160</f>
        <v>18.147960000000001</v>
      </c>
      <c r="K158" s="552">
        <f>IF(OR(K11="S",K11="C"),0,IF(OR(K11="1",K11="3"),ROUND(10*8*K17/365,5),ROUND(10*'New Hire'!L24*K17/365,5)))+'UAT9-Sep'!K160</f>
        <v>66.630129999999994</v>
      </c>
      <c r="L158" s="552">
        <f>IF(OR(L11="S",L11="C"),0,IF(OR(L11="1",L11="3"),ROUND(10*8*L17/365,5),ROUND(10*'New Hire'!M24*L17/365,5)))+'UAT9-Sep'!L160</f>
        <v>66.630129999999994</v>
      </c>
      <c r="M158" s="552">
        <f>IF(OR(M11="S",M11="C"),0,IF(OR(M11="1",M11="3"),ROUND(10*8*M17/365,5),ROUND(10*'New Hire'!N24*M17/365,5)))+'UAT9-Sep'!M160</f>
        <v>66.630129999999994</v>
      </c>
      <c r="N158" s="552">
        <f>IF(OR(N11="S",N11="C"),0,IF(OR(N11="1",N11="3"),ROUND(10*8*N17/365,5),ROUND(10*'New Hire'!O24*N17/365,5)))+'UAT9-Sep'!N160</f>
        <v>66.630129999999994</v>
      </c>
      <c r="O158" s="552">
        <v>0</v>
      </c>
    </row>
    <row r="159" spans="1:16">
      <c r="A159" s="445" t="s">
        <v>829</v>
      </c>
      <c r="B159" s="551">
        <f>IF(B152&lt;&gt;0,0,IF('New Hire'!C78=1,ROUND(25/10*B13%/365,5)*B17,0)+'UAT9-Sep'!B161)</f>
        <v>0</v>
      </c>
      <c r="C159" s="551">
        <f>IF(C152&lt;&gt;0,0,IF('New Hire'!D78=1,ROUND(25/10*C13%/365,5)*C17,0)+'UAT9-Sep'!C161)</f>
        <v>0</v>
      </c>
      <c r="D159" s="551">
        <f>IF(D152&lt;&gt;0,0,IF('New Hire'!E78=1,ROUND(25/10*D13%/365,5)*D17,0)+'UAT9-Sep'!D161)</f>
        <v>0</v>
      </c>
      <c r="E159" s="551">
        <f>IF(E152&lt;&gt;0,0,IF('New Hire'!F78=1,ROUND(25/10*E13%/365,5)*E17,0)+'UAT9-Sep'!E161)</f>
        <v>0</v>
      </c>
      <c r="F159" s="551">
        <f>IF(F152&lt;&gt;0,0,IF('New Hire'!G78=1,ROUND(25/10*F13%/365,5)*F17,0)+'UAT9-Sep'!F161)</f>
        <v>0</v>
      </c>
      <c r="G159" s="551">
        <f>IF(G152&lt;&gt;0,0,IF('New Hire'!H78=1,ROUND(25/10*G13%/365,5)*G17,0)+'UAT9-Sep'!G161)</f>
        <v>0</v>
      </c>
      <c r="H159" s="551">
        <f>IF(H152&lt;&gt;0,0,IF('New Hire'!I78=1,ROUND(25/10*H13%/365,5)*H17,0)+'UAT9-Sep'!H161)</f>
        <v>0</v>
      </c>
      <c r="I159" s="551">
        <f>IF(I152&lt;&gt;0,0,IF('New Hire'!J78=1,ROUND(25/10*I13%/365,5)*I17,0)+'UAT9-Sep'!I161)</f>
        <v>0</v>
      </c>
      <c r="J159" s="551">
        <f>IF(J152&lt;&gt;0,0,IF('New Hire'!K78=1,ROUND(25/10*J13%/365,5)*J17,0)+'UAT9-Sep'!J161)</f>
        <v>0</v>
      </c>
      <c r="K159" s="551">
        <f>IF(K152&lt;&gt;0,0,IF('New Hire'!L78=1,ROUND(25/10*K13%/365,5)*K17,0)+'UAT9-Sep'!K161)</f>
        <v>0</v>
      </c>
      <c r="L159" s="551">
        <f>IF(L152&lt;&gt;0,0,IF('New Hire'!M78=1,ROUND(25/10*L13%/365,5)*L17,0)+'UAT9-Sep'!L161)</f>
        <v>0</v>
      </c>
      <c r="M159" s="551">
        <f>IF(M152&lt;&gt;0,0,IF('New Hire'!N78=1,ROUND(25/10*M13%/365,5)*M17,0)+'UAT9-Sep'!M161)</f>
        <v>0</v>
      </c>
      <c r="N159" s="551">
        <f>IF(N152&lt;&gt;0,0,IF('New Hire'!O78=1,ROUND(25/10*N13%/365,5)*N17,0)+'UAT9-Sep'!N161)</f>
        <v>0</v>
      </c>
      <c r="O159" s="551">
        <f>IF(O152&lt;&gt;0,0,IF('New Hire'!P78=1,ROUND(25/10*O13%/365,5)*O17,0)+'UAT9-Sep'!O161)</f>
        <v>0</v>
      </c>
      <c r="P159" s="291"/>
    </row>
    <row r="160" spans="1:16">
      <c r="A160" s="445" t="s">
        <v>830</v>
      </c>
      <c r="B160" s="552">
        <f>IF(B11="C",0,IF(B153&lt;&gt;0,0,IF('New Hire'!C78=1,0,ROUND(5/5*B13%/365,5)*B17)+'UAT9-Sep'!B162))</f>
        <v>0</v>
      </c>
      <c r="C160" s="552">
        <f>IF(C11="C",0,IF(C153&lt;&gt;0,0,IF('New Hire'!D78=1,0,ROUND(5/5*C13%/365,5)*C17)+'UAT9-Sep'!C162))</f>
        <v>0.41647999999999996</v>
      </c>
      <c r="D160" s="552">
        <f>IF(D11="C",0,IF(D153&lt;&gt;0,0,IF('New Hire'!E78=1,0,ROUND(5/5*D13%/365,5)*D17)+'UAT9-Sep'!D162))</f>
        <v>8.4939999999999988E-2</v>
      </c>
      <c r="E160" s="552">
        <f>IF(E11="C",0,IF(E153&lt;&gt;0,0,IF('New Hire'!F78=1,0,ROUND(5/5*E13%/365,5)*E17)+'UAT9-Sep'!E162))</f>
        <v>0.83295999999999992</v>
      </c>
      <c r="F160" s="552">
        <f>IF(F11="C",0,IF(F153&lt;&gt;0,0,IF('New Hire'!G78=1,0,ROUND(5/5*F13%/365,5)*F17)+'UAT9-Sep'!F162))</f>
        <v>0</v>
      </c>
      <c r="G160" s="552">
        <f>IF(G11="C",0,IF(G153&lt;&gt;0,0,IF('New Hire'!H78=1,0,ROUND(5/5*G13%/365,5)*G17)+'UAT9-Sep'!G162))</f>
        <v>0</v>
      </c>
      <c r="H160" s="552">
        <f>IF(H11="C",0,IF(H153&lt;&gt;0,0,IF('New Hire'!I78=1,0,ROUND(5/5*H13%/365,5)*H17)+'UAT9-Sep'!H162))</f>
        <v>0.41647999999999996</v>
      </c>
      <c r="I160" s="552">
        <f>IF(I11="C",0,IF(I153&lt;&gt;0,0,IF('New Hire'!J78=1,0,ROUND(5/5*I13%/365,5)*I17)+'UAT9-Sep'!I162))</f>
        <v>0.78637999999999986</v>
      </c>
      <c r="J160" s="552">
        <f>IF(J11="C",0,IF(J153&lt;&gt;0,0,IF('New Hire'!K78=1,0,ROUND(5/5*J13%/365,5)*J17)+'UAT9-Sep'!J162))</f>
        <v>0.37812000000000001</v>
      </c>
      <c r="K160" s="552">
        <f>IF(K11="C",0,IF(K153&lt;&gt;0,0,IF('New Hire'!L78=1,0,ROUND(5/5*K13%/365,5)*K17)+'UAT9-Sep'!K162))</f>
        <v>0</v>
      </c>
      <c r="L160" s="552">
        <f>IF(L11="C",0,IF(L153&lt;&gt;0,0,IF('New Hire'!M78=1,0,ROUND(5/5*L13%/365,5)*L17)+'UAT9-Sep'!L162))</f>
        <v>0</v>
      </c>
      <c r="M160" s="552">
        <f>IF(M11="C",0,IF(M153&lt;&gt;0,0,IF('New Hire'!N78=1,0,ROUND(5/5*M13%/365,5)*M17)+'UAT9-Sep'!M162))</f>
        <v>0.83295999999999992</v>
      </c>
      <c r="N160" s="552">
        <f>IF(N11="C",0,IF(N153&lt;&gt;0,0,IF('New Hire'!O78=1,0,ROUND(5/5*N13%/365,5)*N17)+'UAT9-Sep'!N162))</f>
        <v>0.83295999999999992</v>
      </c>
      <c r="O160" s="552">
        <f>IF(O11="C",0,IF(O153&lt;&gt;0,0,IF('New Hire'!P78=1,0,ROUND(5/5*O13%/365,5)*O17)+'UAT9-Sep'!O162))</f>
        <v>0</v>
      </c>
    </row>
    <row r="161" spans="1:15">
      <c r="A161" s="445"/>
      <c r="B161" s="549"/>
      <c r="C161" s="549"/>
      <c r="D161" s="549"/>
      <c r="E161" s="549"/>
      <c r="F161" s="549"/>
      <c r="G161" s="549"/>
      <c r="H161" s="549"/>
      <c r="I161" s="549"/>
      <c r="J161" s="549"/>
      <c r="K161" s="549"/>
      <c r="L161" s="549"/>
      <c r="M161" s="549"/>
      <c r="N161" s="549"/>
      <c r="O161" s="549"/>
    </row>
    <row r="162" spans="1:15" ht="15.6">
      <c r="A162" s="411" t="s">
        <v>629</v>
      </c>
    </row>
    <row r="163" spans="1:15">
      <c r="A163" s="535" t="s">
        <v>479</v>
      </c>
      <c r="B163" s="536">
        <v>7000000</v>
      </c>
      <c r="C163" s="536">
        <v>6200000</v>
      </c>
      <c r="D163" s="536">
        <f>AA42</f>
        <v>11000000</v>
      </c>
      <c r="E163" s="536">
        <v>11000000</v>
      </c>
      <c r="F163" s="536">
        <v>16000000</v>
      </c>
      <c r="H163" s="536">
        <v>5500</v>
      </c>
      <c r="I163" s="536">
        <v>4200</v>
      </c>
      <c r="J163" s="536">
        <v>55000000</v>
      </c>
      <c r="K163" s="536">
        <v>10000000</v>
      </c>
      <c r="L163" s="536">
        <v>11500000</v>
      </c>
      <c r="M163" s="536">
        <v>7000000</v>
      </c>
      <c r="N163" s="536">
        <v>8000000</v>
      </c>
    </row>
    <row r="164" spans="1:15">
      <c r="A164" s="445" t="s">
        <v>776</v>
      </c>
      <c r="B164" s="452"/>
      <c r="C164" s="452"/>
      <c r="D164" s="452"/>
      <c r="E164" s="452"/>
      <c r="F164" s="452"/>
      <c r="G164" s="536">
        <v>250</v>
      </c>
      <c r="H164" s="452"/>
      <c r="I164" s="452"/>
      <c r="J164" s="452"/>
      <c r="K164" s="452"/>
      <c r="L164" s="452"/>
      <c r="M164" s="452"/>
      <c r="N164" s="452"/>
      <c r="O164" s="536">
        <v>900000</v>
      </c>
    </row>
    <row r="165" spans="1:15">
      <c r="A165" s="451" t="s">
        <v>496</v>
      </c>
      <c r="B165" s="452">
        <v>700000</v>
      </c>
      <c r="C165" s="452">
        <v>620000</v>
      </c>
      <c r="D165" s="452">
        <f>AA43</f>
        <v>1100000</v>
      </c>
      <c r="E165" s="452">
        <v>0</v>
      </c>
      <c r="F165" s="452">
        <v>0</v>
      </c>
      <c r="G165" s="452">
        <v>0</v>
      </c>
      <c r="H165" s="452">
        <v>550</v>
      </c>
      <c r="I165" s="452">
        <v>0</v>
      </c>
      <c r="J165" s="452">
        <v>5500000</v>
      </c>
      <c r="K165" s="452">
        <v>1000000</v>
      </c>
      <c r="L165" s="452">
        <v>0</v>
      </c>
      <c r="M165" s="452">
        <v>1400000</v>
      </c>
      <c r="N165" s="452">
        <v>1200000</v>
      </c>
      <c r="O165" s="452">
        <f>'New Hire'!P34</f>
        <v>0</v>
      </c>
    </row>
    <row r="166" spans="1:15">
      <c r="A166" s="415" t="s">
        <v>569</v>
      </c>
      <c r="B166" s="452">
        <v>1400000</v>
      </c>
      <c r="C166" s="452">
        <v>1240000</v>
      </c>
      <c r="D166" s="452">
        <f>AA44</f>
        <v>2350000</v>
      </c>
      <c r="E166" s="452">
        <v>0</v>
      </c>
      <c r="F166" s="452">
        <v>0</v>
      </c>
      <c r="G166" s="452">
        <v>0</v>
      </c>
      <c r="H166" s="452">
        <v>1100</v>
      </c>
      <c r="I166" s="452">
        <v>0</v>
      </c>
      <c r="J166" s="452">
        <v>11000000</v>
      </c>
      <c r="K166" s="452">
        <v>2000000</v>
      </c>
      <c r="L166" s="452">
        <v>0</v>
      </c>
      <c r="M166" s="452">
        <v>2100000</v>
      </c>
      <c r="N166" s="452">
        <v>1650000</v>
      </c>
      <c r="O166" s="452">
        <f>'New Hire'!P36</f>
        <v>0</v>
      </c>
    </row>
    <row r="167" spans="1:15">
      <c r="A167" s="423" t="s">
        <v>495</v>
      </c>
      <c r="B167" s="452"/>
      <c r="C167" s="452"/>
      <c r="D167" s="452"/>
      <c r="E167" s="452"/>
      <c r="F167" s="452"/>
      <c r="G167" s="452"/>
      <c r="H167" s="452"/>
      <c r="I167" s="452"/>
      <c r="J167" s="452"/>
      <c r="K167" s="452"/>
      <c r="L167" s="452"/>
      <c r="M167" s="452"/>
      <c r="N167" s="452"/>
      <c r="O167" s="452"/>
    </row>
    <row r="168" spans="1:15">
      <c r="A168" s="412" t="s">
        <v>530</v>
      </c>
      <c r="B168" s="452"/>
      <c r="C168" s="452"/>
      <c r="D168" s="452"/>
      <c r="E168" s="452"/>
      <c r="F168" s="452"/>
      <c r="G168" s="452"/>
      <c r="H168" s="452"/>
      <c r="I168" s="452"/>
      <c r="J168" s="452"/>
      <c r="K168" s="452"/>
      <c r="L168" s="452"/>
      <c r="M168" s="452"/>
      <c r="N168" s="452"/>
      <c r="O168" s="452"/>
    </row>
    <row r="169" spans="1:15">
      <c r="A169" s="423" t="s">
        <v>598</v>
      </c>
      <c r="B169" s="452"/>
      <c r="C169" s="452"/>
      <c r="D169" s="452"/>
      <c r="E169" s="452"/>
      <c r="F169" s="452"/>
      <c r="G169" s="452"/>
      <c r="H169" s="452"/>
      <c r="I169" s="452"/>
      <c r="J169" s="452"/>
      <c r="K169" s="452"/>
      <c r="L169" s="452"/>
      <c r="M169" s="452"/>
      <c r="N169" s="452"/>
      <c r="O169" s="452"/>
    </row>
    <row r="170" spans="1:15">
      <c r="A170" s="415" t="s">
        <v>493</v>
      </c>
      <c r="B170" s="452"/>
      <c r="C170" s="452"/>
      <c r="D170" s="452"/>
      <c r="E170" s="452"/>
      <c r="F170" s="452"/>
      <c r="G170" s="452"/>
      <c r="H170" s="452"/>
      <c r="I170" s="452"/>
      <c r="J170" s="452"/>
      <c r="K170" s="452"/>
      <c r="L170" s="452"/>
      <c r="M170" s="452"/>
      <c r="N170" s="452"/>
      <c r="O170" s="452"/>
    </row>
    <row r="171" spans="1:15">
      <c r="A171" s="415" t="s">
        <v>499</v>
      </c>
      <c r="B171" s="452"/>
      <c r="C171" s="452"/>
      <c r="D171" s="452"/>
      <c r="E171" s="452"/>
      <c r="F171" s="452"/>
      <c r="G171" s="452"/>
      <c r="H171" s="452"/>
      <c r="I171" s="452"/>
      <c r="J171" s="452"/>
      <c r="K171" s="452"/>
      <c r="L171" s="452"/>
      <c r="M171" s="452"/>
      <c r="N171" s="452"/>
      <c r="O171" s="452"/>
    </row>
    <row r="172" spans="1:15">
      <c r="A172" s="6" t="s">
        <v>630</v>
      </c>
      <c r="B172" s="452">
        <f t="shared" ref="B172:O172" si="58">B95+B96+B97</f>
        <v>0</v>
      </c>
      <c r="C172" s="452">
        <f t="shared" si="58"/>
        <v>0</v>
      </c>
      <c r="D172" s="452">
        <f t="shared" si="58"/>
        <v>0</v>
      </c>
      <c r="E172" s="452">
        <f t="shared" si="58"/>
        <v>0</v>
      </c>
      <c r="F172" s="452">
        <f t="shared" si="58"/>
        <v>0</v>
      </c>
      <c r="G172" s="452">
        <f t="shared" si="58"/>
        <v>0</v>
      </c>
      <c r="H172" s="452">
        <f t="shared" si="58"/>
        <v>0</v>
      </c>
      <c r="I172" s="452">
        <f t="shared" si="58"/>
        <v>0</v>
      </c>
      <c r="J172" s="452">
        <f t="shared" si="58"/>
        <v>0</v>
      </c>
      <c r="K172" s="452">
        <f t="shared" si="58"/>
        <v>0</v>
      </c>
      <c r="L172" s="452">
        <f t="shared" si="58"/>
        <v>0</v>
      </c>
      <c r="M172" s="452">
        <f t="shared" si="58"/>
        <v>0</v>
      </c>
      <c r="N172" s="452">
        <f t="shared" si="58"/>
        <v>0</v>
      </c>
      <c r="O172" s="452">
        <f t="shared" si="58"/>
        <v>0</v>
      </c>
    </row>
    <row r="173" spans="1:15">
      <c r="A173" s="6" t="s">
        <v>632</v>
      </c>
      <c r="B173" s="452">
        <f t="shared" ref="B173:O173" si="59">B100+B101</f>
        <v>0</v>
      </c>
      <c r="C173" s="452">
        <f t="shared" si="59"/>
        <v>0</v>
      </c>
      <c r="D173" s="452">
        <f t="shared" si="59"/>
        <v>0</v>
      </c>
      <c r="E173" s="452">
        <f t="shared" si="59"/>
        <v>0</v>
      </c>
      <c r="F173" s="452">
        <f t="shared" si="59"/>
        <v>0</v>
      </c>
      <c r="G173" s="452">
        <f t="shared" si="59"/>
        <v>0</v>
      </c>
      <c r="H173" s="452">
        <f t="shared" si="59"/>
        <v>0</v>
      </c>
      <c r="I173" s="452">
        <f t="shared" si="59"/>
        <v>0</v>
      </c>
      <c r="J173" s="452">
        <f t="shared" si="59"/>
        <v>0</v>
      </c>
      <c r="K173" s="452">
        <f t="shared" si="59"/>
        <v>0</v>
      </c>
      <c r="L173" s="452">
        <f t="shared" si="59"/>
        <v>0</v>
      </c>
      <c r="M173" s="452">
        <f t="shared" si="59"/>
        <v>0</v>
      </c>
      <c r="N173" s="452">
        <f t="shared" si="59"/>
        <v>0</v>
      </c>
      <c r="O173" s="452">
        <f t="shared" si="59"/>
        <v>0</v>
      </c>
    </row>
    <row r="174" spans="1:15">
      <c r="A174" s="412" t="s">
        <v>613</v>
      </c>
      <c r="B174" s="452"/>
      <c r="C174" s="452"/>
      <c r="D174" s="452"/>
      <c r="E174" s="452"/>
      <c r="F174" s="452"/>
      <c r="G174" s="452"/>
      <c r="H174" s="452">
        <v>100</v>
      </c>
      <c r="I174" s="452">
        <v>100</v>
      </c>
      <c r="J174" s="452"/>
      <c r="K174" s="452"/>
      <c r="L174" s="452"/>
      <c r="M174" s="452"/>
      <c r="N174" s="452"/>
      <c r="O174" s="452"/>
    </row>
    <row r="175" spans="1:15">
      <c r="A175" s="412" t="s">
        <v>614</v>
      </c>
      <c r="B175" s="452"/>
      <c r="C175" s="452"/>
      <c r="D175" s="452"/>
      <c r="E175" s="452"/>
      <c r="F175" s="452"/>
      <c r="G175" s="452"/>
      <c r="H175" s="452">
        <v>200</v>
      </c>
      <c r="I175" s="452">
        <v>200</v>
      </c>
      <c r="J175" s="452"/>
      <c r="K175" s="452"/>
      <c r="L175" s="452"/>
      <c r="M175" s="452"/>
      <c r="N175" s="452"/>
      <c r="O175" s="452"/>
    </row>
    <row r="176" spans="1:15">
      <c r="A176" s="6" t="s">
        <v>633</v>
      </c>
      <c r="B176" s="452">
        <f t="shared" ref="B176:O176" si="60">IF(OR(B19="A",B19="B"),B163,(B163-B174-B175)*B112)</f>
        <v>7000000</v>
      </c>
      <c r="C176" s="452">
        <f t="shared" si="60"/>
        <v>6200000</v>
      </c>
      <c r="D176" s="452">
        <f t="shared" si="60"/>
        <v>11000000</v>
      </c>
      <c r="E176" s="452">
        <f t="shared" si="60"/>
        <v>11000000</v>
      </c>
      <c r="F176" s="452">
        <f t="shared" si="60"/>
        <v>16000000</v>
      </c>
      <c r="G176" s="452">
        <f t="shared" si="60"/>
        <v>0</v>
      </c>
      <c r="H176" s="452">
        <f t="shared" si="60"/>
        <v>5200</v>
      </c>
      <c r="I176" s="452">
        <f t="shared" si="60"/>
        <v>3900</v>
      </c>
      <c r="J176" s="452">
        <f t="shared" si="60"/>
        <v>55000000</v>
      </c>
      <c r="K176" s="452">
        <f t="shared" si="60"/>
        <v>10000000</v>
      </c>
      <c r="L176" s="452">
        <f t="shared" si="60"/>
        <v>11500000</v>
      </c>
      <c r="M176" s="452">
        <f t="shared" si="60"/>
        <v>7000000</v>
      </c>
      <c r="N176" s="452">
        <f t="shared" si="60"/>
        <v>8000000</v>
      </c>
      <c r="O176" s="452">
        <f t="shared" si="60"/>
        <v>0</v>
      </c>
    </row>
    <row r="177" spans="1:15">
      <c r="A177" s="6" t="s">
        <v>635</v>
      </c>
      <c r="B177" s="452">
        <f t="shared" ref="B177:O177" si="61">IF(B11="C",0,IF(OR(B19="A",B19="B"),0,ROUND(B176*$B$5,0)+ROUND(B165*$B$5,0)+ROUND(B166*$B$5,0)+ROUND(B168*$B$5,0)))</f>
        <v>0</v>
      </c>
      <c r="C177" s="452">
        <f t="shared" si="61"/>
        <v>0</v>
      </c>
      <c r="D177" s="452">
        <f t="shared" si="61"/>
        <v>0</v>
      </c>
      <c r="E177" s="452">
        <f t="shared" si="61"/>
        <v>0</v>
      </c>
      <c r="F177" s="452">
        <f t="shared" si="61"/>
        <v>0</v>
      </c>
      <c r="G177" s="452">
        <f t="shared" si="61"/>
        <v>0</v>
      </c>
      <c r="H177" s="452">
        <f t="shared" si="61"/>
        <v>160975000</v>
      </c>
      <c r="I177" s="452">
        <f t="shared" si="61"/>
        <v>91650000</v>
      </c>
      <c r="J177" s="452">
        <f t="shared" si="61"/>
        <v>0</v>
      </c>
      <c r="K177" s="452">
        <f t="shared" si="61"/>
        <v>0</v>
      </c>
      <c r="L177" s="452">
        <f t="shared" si="61"/>
        <v>0</v>
      </c>
      <c r="M177" s="452">
        <f t="shared" si="61"/>
        <v>0</v>
      </c>
      <c r="N177" s="452">
        <f t="shared" si="61"/>
        <v>0</v>
      </c>
      <c r="O177" s="452">
        <f t="shared" si="61"/>
        <v>0</v>
      </c>
    </row>
    <row r="178" spans="1:15">
      <c r="A178" s="6" t="s">
        <v>665</v>
      </c>
      <c r="B178" s="5">
        <v>0</v>
      </c>
      <c r="C178" s="5">
        <v>0</v>
      </c>
      <c r="D178" s="5">
        <v>0</v>
      </c>
      <c r="E178" s="5">
        <v>0</v>
      </c>
      <c r="F178" s="5">
        <v>0</v>
      </c>
      <c r="G178" s="5">
        <v>0</v>
      </c>
      <c r="H178" s="5">
        <v>0</v>
      </c>
      <c r="I178" s="5">
        <v>0</v>
      </c>
      <c r="J178" s="5">
        <v>0</v>
      </c>
      <c r="K178" s="5">
        <v>0</v>
      </c>
      <c r="L178" s="5">
        <v>0</v>
      </c>
      <c r="M178" s="5">
        <v>0</v>
      </c>
      <c r="N178" s="5">
        <v>0</v>
      </c>
      <c r="O178" s="5">
        <v>0</v>
      </c>
    </row>
    <row r="179" spans="1:15">
      <c r="A179" s="6" t="s">
        <v>866</v>
      </c>
      <c r="B179" s="5">
        <f>'UAT9-Sep'!B181</f>
        <v>0</v>
      </c>
      <c r="C179" s="5">
        <f>'UAT9-Sep'!C181</f>
        <v>0</v>
      </c>
      <c r="D179" s="5">
        <f>'UAT9-Sep'!D181</f>
        <v>0</v>
      </c>
      <c r="E179" s="620">
        <f>'UAT9-Sep'!E181+AC73</f>
        <v>36</v>
      </c>
      <c r="F179" s="5">
        <f>'UAT9-Sep'!F181</f>
        <v>0</v>
      </c>
      <c r="G179" s="5">
        <f>'UAT9-Sep'!G181</f>
        <v>0</v>
      </c>
      <c r="H179" s="620">
        <f>'UAT9-Sep'!H181+AC74</f>
        <v>31</v>
      </c>
      <c r="I179" s="5">
        <f>'UAT9-Sep'!I181</f>
        <v>0</v>
      </c>
      <c r="J179" s="5">
        <f>'UAT9-Sep'!J181</f>
        <v>0</v>
      </c>
      <c r="K179" s="5">
        <f>'UAT9-Sep'!K181</f>
        <v>0</v>
      </c>
      <c r="L179" s="5">
        <f>'UAT9-Sep'!L181</f>
        <v>0</v>
      </c>
      <c r="M179" s="5">
        <f>'UAT9-Sep'!M181</f>
        <v>0</v>
      </c>
      <c r="N179" s="5">
        <f>'UAT9-Sep'!N181</f>
        <v>0</v>
      </c>
      <c r="O179" s="5">
        <f>'UAT9-Sep'!O181</f>
        <v>0</v>
      </c>
    </row>
  </sheetData>
  <mergeCells count="4">
    <mergeCell ref="G6:J6"/>
    <mergeCell ref="X6:AA6"/>
    <mergeCell ref="P7:P8"/>
    <mergeCell ref="X9:AA12"/>
  </mergeCells>
  <phoneticPr fontId="11" type="noConversion"/>
  <pageMargins left="0.75" right="0.75" top="1" bottom="1" header="0.5" footer="0.5"/>
  <pageSetup paperSize="9" orientation="portrait" verticalDpi="9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56"/>
  <sheetViews>
    <sheetView topLeftCell="B6" workbookViewId="0">
      <selection activeCell="I24" sqref="I24"/>
    </sheetView>
  </sheetViews>
  <sheetFormatPr defaultRowHeight="13.2"/>
  <cols>
    <col min="1" max="1" width="10.6640625" bestFit="1" customWidth="1"/>
    <col min="2" max="2" width="10.5546875" customWidth="1"/>
    <col min="3" max="3" width="12.88671875" customWidth="1"/>
    <col min="4" max="4" width="18.109375" customWidth="1"/>
    <col min="5" max="6" width="17.88671875" customWidth="1"/>
    <col min="7" max="7" width="16.109375" hidden="1" customWidth="1"/>
    <col min="9" max="13" width="17.5546875" customWidth="1"/>
    <col min="14" max="14" width="12.5546875" customWidth="1"/>
    <col min="15" max="15" width="11.6640625" customWidth="1"/>
  </cols>
  <sheetData>
    <row r="1" spans="1:21" ht="17.399999999999999">
      <c r="A1" s="136" t="s">
        <v>6</v>
      </c>
      <c r="B1" s="135"/>
      <c r="C1" s="135"/>
      <c r="D1" s="135"/>
      <c r="E1" s="135"/>
      <c r="F1" s="135"/>
      <c r="G1" s="135"/>
      <c r="H1" s="135"/>
      <c r="I1" s="135"/>
      <c r="J1" s="135"/>
      <c r="K1" s="135"/>
      <c r="L1" s="135"/>
      <c r="M1" s="135"/>
      <c r="N1" s="135"/>
      <c r="O1" s="135"/>
      <c r="P1" s="135"/>
      <c r="Q1" s="135"/>
      <c r="R1" s="135"/>
      <c r="S1" s="135"/>
      <c r="T1" s="135"/>
      <c r="U1" s="135"/>
    </row>
    <row r="3" spans="1:21" ht="30">
      <c r="A3" s="138" t="s">
        <v>333</v>
      </c>
      <c r="B3" s="135"/>
      <c r="C3" s="135"/>
      <c r="D3" s="135"/>
      <c r="E3" s="135"/>
      <c r="F3" s="135"/>
      <c r="G3" s="135"/>
      <c r="H3" s="135"/>
      <c r="I3" s="135"/>
      <c r="J3" s="139"/>
      <c r="K3" s="139"/>
      <c r="L3" s="135"/>
      <c r="M3" s="135"/>
      <c r="N3" s="135"/>
      <c r="O3" s="135"/>
      <c r="P3" s="135"/>
      <c r="Q3" s="135"/>
      <c r="R3" s="135"/>
      <c r="S3" s="135"/>
      <c r="T3" s="135"/>
      <c r="U3" s="135"/>
    </row>
    <row r="4" spans="1:21">
      <c r="A4" s="135"/>
      <c r="B4" s="135"/>
      <c r="C4" s="135"/>
      <c r="D4" s="135"/>
      <c r="E4" s="135"/>
      <c r="F4" s="135"/>
      <c r="G4" s="135"/>
      <c r="H4" s="135"/>
      <c r="I4" s="135"/>
      <c r="J4" s="135"/>
      <c r="K4" s="135"/>
      <c r="L4" s="135"/>
      <c r="M4" s="135"/>
      <c r="N4" s="135"/>
      <c r="O4" s="135"/>
      <c r="P4" s="135"/>
      <c r="Q4" s="135"/>
      <c r="R4" s="135"/>
      <c r="S4" s="135"/>
    </row>
    <row r="5" spans="1:21">
      <c r="A5" s="697" t="s">
        <v>133</v>
      </c>
      <c r="B5" s="698"/>
      <c r="C5" s="715" t="s">
        <v>134</v>
      </c>
      <c r="D5" s="697" t="s">
        <v>135</v>
      </c>
      <c r="E5" s="703"/>
      <c r="F5" s="703"/>
      <c r="G5" s="698"/>
      <c r="H5" s="706" t="s">
        <v>136</v>
      </c>
      <c r="I5" s="707"/>
      <c r="J5" s="707"/>
      <c r="K5" s="707"/>
      <c r="L5" s="707"/>
      <c r="M5" s="708"/>
      <c r="N5" s="715" t="s">
        <v>137</v>
      </c>
      <c r="O5" s="715" t="s">
        <v>138</v>
      </c>
      <c r="P5" s="135"/>
      <c r="Q5" s="135"/>
      <c r="R5" s="135"/>
      <c r="S5" s="135"/>
    </row>
    <row r="6" spans="1:21">
      <c r="A6" s="699"/>
      <c r="B6" s="700"/>
      <c r="C6" s="716"/>
      <c r="D6" s="699"/>
      <c r="E6" s="704"/>
      <c r="F6" s="704"/>
      <c r="G6" s="700"/>
      <c r="H6" s="709"/>
      <c r="I6" s="710"/>
      <c r="J6" s="710"/>
      <c r="K6" s="710"/>
      <c r="L6" s="710"/>
      <c r="M6" s="711"/>
      <c r="N6" s="716"/>
      <c r="O6" s="716"/>
      <c r="P6" s="135"/>
      <c r="Q6" s="135"/>
      <c r="R6" s="135"/>
      <c r="S6" s="135"/>
    </row>
    <row r="7" spans="1:21">
      <c r="A7" s="701"/>
      <c r="B7" s="702"/>
      <c r="C7" s="717"/>
      <c r="D7" s="701"/>
      <c r="E7" s="705"/>
      <c r="F7" s="705"/>
      <c r="G7" s="702"/>
      <c r="H7" s="712"/>
      <c r="I7" s="713"/>
      <c r="J7" s="713"/>
      <c r="K7" s="713"/>
      <c r="L7" s="713"/>
      <c r="M7" s="714"/>
      <c r="N7" s="717"/>
      <c r="O7" s="717"/>
      <c r="P7" s="135"/>
      <c r="Q7" s="135"/>
      <c r="R7" s="135"/>
      <c r="S7" s="135"/>
    </row>
    <row r="8" spans="1:21" ht="13.8">
      <c r="A8" s="140" t="s">
        <v>144</v>
      </c>
      <c r="B8" s="140" t="s">
        <v>145</v>
      </c>
      <c r="C8" s="140" t="s">
        <v>146</v>
      </c>
      <c r="D8" s="140" t="s">
        <v>147</v>
      </c>
      <c r="E8" s="140" t="s">
        <v>148</v>
      </c>
      <c r="F8" s="608" t="s">
        <v>949</v>
      </c>
      <c r="G8" s="140" t="s">
        <v>149</v>
      </c>
      <c r="H8" s="140" t="s">
        <v>150</v>
      </c>
      <c r="I8" s="140" t="s">
        <v>147</v>
      </c>
      <c r="J8" s="140" t="s">
        <v>151</v>
      </c>
      <c r="K8" s="140" t="s">
        <v>148</v>
      </c>
      <c r="L8" s="140" t="s">
        <v>152</v>
      </c>
      <c r="M8" s="140" t="s">
        <v>153</v>
      </c>
      <c r="N8" s="140"/>
      <c r="O8" s="140"/>
      <c r="P8" s="135"/>
      <c r="Q8" s="135"/>
      <c r="R8" s="135"/>
      <c r="S8" s="135"/>
      <c r="T8" s="135"/>
      <c r="U8" s="135"/>
    </row>
    <row r="9" spans="1:21" ht="13.8">
      <c r="A9" s="689" t="s">
        <v>154</v>
      </c>
      <c r="B9" s="689" t="s">
        <v>155</v>
      </c>
      <c r="C9" s="689" t="s">
        <v>139</v>
      </c>
      <c r="D9" s="691">
        <v>43878</v>
      </c>
      <c r="E9" s="691">
        <f>D9+G9</f>
        <v>43881</v>
      </c>
      <c r="F9" s="694">
        <f>NETWORKDAYS(D9,E9,$A$48:$A$56)</f>
        <v>4</v>
      </c>
      <c r="G9" s="689">
        <v>3</v>
      </c>
      <c r="H9" s="141">
        <v>1</v>
      </c>
      <c r="I9" s="141"/>
      <c r="J9" s="141"/>
      <c r="K9" s="141"/>
      <c r="L9" s="141"/>
      <c r="M9" s="141"/>
      <c r="N9" s="686"/>
      <c r="O9" s="689"/>
      <c r="P9" s="135"/>
      <c r="Q9" s="135"/>
      <c r="R9" s="135"/>
      <c r="S9" s="135"/>
      <c r="T9" s="135"/>
      <c r="U9" s="135"/>
    </row>
    <row r="10" spans="1:21" ht="13.8">
      <c r="A10" s="689"/>
      <c r="B10" s="689"/>
      <c r="C10" s="689"/>
      <c r="D10" s="692"/>
      <c r="E10" s="692"/>
      <c r="F10" s="695"/>
      <c r="G10" s="689"/>
      <c r="H10" s="141">
        <v>2</v>
      </c>
      <c r="I10" s="141"/>
      <c r="J10" s="141"/>
      <c r="K10" s="141"/>
      <c r="L10" s="141"/>
      <c r="M10" s="141"/>
      <c r="N10" s="687"/>
      <c r="O10" s="690"/>
      <c r="P10" s="135"/>
      <c r="Q10" s="135"/>
      <c r="R10" s="135"/>
      <c r="S10" s="135"/>
      <c r="T10" s="135"/>
      <c r="U10" s="135"/>
    </row>
    <row r="11" spans="1:21" ht="13.8">
      <c r="A11" s="689"/>
      <c r="B11" s="689"/>
      <c r="C11" s="689"/>
      <c r="D11" s="693"/>
      <c r="E11" s="693"/>
      <c r="F11" s="696"/>
      <c r="G11" s="689"/>
      <c r="H11" s="141">
        <v>3</v>
      </c>
      <c r="I11" s="141"/>
      <c r="J11" s="141"/>
      <c r="K11" s="141"/>
      <c r="L11" s="141"/>
      <c r="M11" s="141"/>
      <c r="N11" s="688"/>
      <c r="O11" s="690"/>
      <c r="P11" s="135"/>
      <c r="Q11" s="135"/>
      <c r="R11" s="135"/>
      <c r="S11" s="135"/>
      <c r="T11" s="135"/>
      <c r="U11" s="135"/>
    </row>
    <row r="12" spans="1:21" ht="13.8">
      <c r="A12" s="689" t="s">
        <v>156</v>
      </c>
      <c r="B12" s="689" t="s">
        <v>157</v>
      </c>
      <c r="C12" s="689" t="s">
        <v>139</v>
      </c>
      <c r="D12" s="691">
        <f>E9+1</f>
        <v>43882</v>
      </c>
      <c r="E12" s="691">
        <f>D12+G12</f>
        <v>43886</v>
      </c>
      <c r="F12" s="694">
        <f t="shared" ref="F12" si="0">NETWORKDAYS(D12,E12,$A$48:$A$56)</f>
        <v>3</v>
      </c>
      <c r="G12" s="689">
        <v>4</v>
      </c>
      <c r="H12" s="141">
        <v>1</v>
      </c>
      <c r="I12" s="141"/>
      <c r="J12" s="141"/>
      <c r="K12" s="141"/>
      <c r="L12" s="141"/>
      <c r="M12" s="141"/>
      <c r="N12" s="686"/>
      <c r="O12" s="689"/>
      <c r="P12" s="135"/>
      <c r="Q12" s="135"/>
      <c r="R12" s="135"/>
      <c r="S12" s="135"/>
      <c r="T12" s="135"/>
      <c r="U12" s="135"/>
    </row>
    <row r="13" spans="1:21" ht="12.75" customHeight="1">
      <c r="A13" s="690"/>
      <c r="B13" s="690"/>
      <c r="C13" s="689"/>
      <c r="D13" s="692"/>
      <c r="E13" s="692"/>
      <c r="F13" s="695"/>
      <c r="G13" s="690"/>
      <c r="H13" s="141">
        <v>2</v>
      </c>
      <c r="I13" s="141"/>
      <c r="J13" s="141"/>
      <c r="K13" s="141"/>
      <c r="L13" s="141"/>
      <c r="M13" s="141"/>
      <c r="N13" s="687"/>
      <c r="O13" s="690"/>
      <c r="P13" s="135"/>
      <c r="Q13" s="135"/>
      <c r="R13" s="135"/>
      <c r="S13" s="135"/>
      <c r="T13" s="135"/>
      <c r="U13" s="135"/>
    </row>
    <row r="14" spans="1:21" ht="12.75" customHeight="1">
      <c r="A14" s="690"/>
      <c r="B14" s="690"/>
      <c r="C14" s="689"/>
      <c r="D14" s="693"/>
      <c r="E14" s="693"/>
      <c r="F14" s="696"/>
      <c r="G14" s="690"/>
      <c r="H14" s="141">
        <v>3</v>
      </c>
      <c r="I14" s="141"/>
      <c r="J14" s="141"/>
      <c r="K14" s="141"/>
      <c r="L14" s="141"/>
      <c r="M14" s="141"/>
      <c r="N14" s="688"/>
      <c r="O14" s="690"/>
      <c r="P14" s="135"/>
      <c r="Q14" s="135"/>
      <c r="R14" s="135"/>
      <c r="S14" s="135"/>
      <c r="T14" s="135"/>
      <c r="U14" s="135"/>
    </row>
    <row r="15" spans="1:21" ht="13.8">
      <c r="A15" s="689" t="s">
        <v>158</v>
      </c>
      <c r="B15" s="689" t="s">
        <v>159</v>
      </c>
      <c r="C15" s="689" t="s">
        <v>139</v>
      </c>
      <c r="D15" s="691">
        <f>E12+1</f>
        <v>43887</v>
      </c>
      <c r="E15" s="691">
        <f t="shared" ref="E15" si="1">D15+G15</f>
        <v>43889</v>
      </c>
      <c r="F15" s="694">
        <f t="shared" ref="F15" si="2">NETWORKDAYS(D15,E15,$A$48:$A$56)</f>
        <v>3</v>
      </c>
      <c r="G15" s="689">
        <v>2</v>
      </c>
      <c r="H15" s="141">
        <v>1</v>
      </c>
      <c r="I15" s="141"/>
      <c r="J15" s="141"/>
      <c r="K15" s="141"/>
      <c r="L15" s="141"/>
      <c r="M15" s="141"/>
      <c r="N15" s="686"/>
      <c r="O15" s="689"/>
      <c r="P15" s="135"/>
      <c r="Q15" s="135"/>
      <c r="R15" s="135"/>
      <c r="S15" s="135"/>
      <c r="T15" s="135"/>
      <c r="U15" s="135"/>
    </row>
    <row r="16" spans="1:21" ht="12.75" customHeight="1">
      <c r="A16" s="690"/>
      <c r="B16" s="690"/>
      <c r="C16" s="689"/>
      <c r="D16" s="692"/>
      <c r="E16" s="692"/>
      <c r="F16" s="695"/>
      <c r="G16" s="690"/>
      <c r="H16" s="141">
        <v>2</v>
      </c>
      <c r="I16" s="141"/>
      <c r="J16" s="141"/>
      <c r="K16" s="141"/>
      <c r="L16" s="141"/>
      <c r="M16" s="141"/>
      <c r="N16" s="687"/>
      <c r="O16" s="690"/>
      <c r="P16" s="135"/>
      <c r="Q16" s="135"/>
      <c r="R16" s="135"/>
      <c r="S16" s="135"/>
      <c r="T16" s="135"/>
      <c r="U16" s="135"/>
    </row>
    <row r="17" spans="1:15" ht="12.75" customHeight="1">
      <c r="A17" s="690"/>
      <c r="B17" s="690"/>
      <c r="C17" s="689"/>
      <c r="D17" s="693"/>
      <c r="E17" s="693"/>
      <c r="F17" s="696"/>
      <c r="G17" s="690"/>
      <c r="H17" s="141">
        <v>3</v>
      </c>
      <c r="I17" s="141"/>
      <c r="J17" s="141"/>
      <c r="K17" s="141"/>
      <c r="L17" s="141"/>
      <c r="M17" s="141"/>
      <c r="N17" s="688"/>
      <c r="O17" s="690"/>
    </row>
    <row r="18" spans="1:15" ht="13.8">
      <c r="A18" s="689" t="s">
        <v>160</v>
      </c>
      <c r="B18" s="689" t="s">
        <v>161</v>
      </c>
      <c r="C18" s="689" t="s">
        <v>139</v>
      </c>
      <c r="D18" s="691">
        <f>E15+3</f>
        <v>43892</v>
      </c>
      <c r="E18" s="691">
        <f t="shared" ref="E18" si="3">D18+G18</f>
        <v>43894</v>
      </c>
      <c r="F18" s="694">
        <f t="shared" ref="F18" si="4">NETWORKDAYS(D18,E18,$A$48:$A$56)</f>
        <v>3</v>
      </c>
      <c r="G18" s="689">
        <v>2</v>
      </c>
      <c r="H18" s="141">
        <v>1</v>
      </c>
      <c r="I18" s="141"/>
      <c r="J18" s="141"/>
      <c r="K18" s="141"/>
      <c r="L18" s="141"/>
      <c r="M18" s="141"/>
      <c r="N18" s="686"/>
      <c r="O18" s="689"/>
    </row>
    <row r="19" spans="1:15" ht="12.75" customHeight="1">
      <c r="A19" s="690"/>
      <c r="B19" s="690"/>
      <c r="C19" s="689"/>
      <c r="D19" s="692"/>
      <c r="E19" s="692"/>
      <c r="F19" s="695"/>
      <c r="G19" s="690"/>
      <c r="H19" s="141">
        <v>2</v>
      </c>
      <c r="I19" s="141"/>
      <c r="J19" s="141"/>
      <c r="K19" s="141"/>
      <c r="L19" s="141"/>
      <c r="M19" s="141"/>
      <c r="N19" s="687"/>
      <c r="O19" s="690"/>
    </row>
    <row r="20" spans="1:15" ht="12.75" customHeight="1">
      <c r="A20" s="690"/>
      <c r="B20" s="690"/>
      <c r="C20" s="689"/>
      <c r="D20" s="693"/>
      <c r="E20" s="693"/>
      <c r="F20" s="696"/>
      <c r="G20" s="690"/>
      <c r="H20" s="141">
        <v>3</v>
      </c>
      <c r="I20" s="141"/>
      <c r="J20" s="141"/>
      <c r="K20" s="141"/>
      <c r="L20" s="141"/>
      <c r="M20" s="141"/>
      <c r="N20" s="688"/>
      <c r="O20" s="690"/>
    </row>
    <row r="21" spans="1:15" ht="13.8">
      <c r="A21" s="689" t="s">
        <v>162</v>
      </c>
      <c r="B21" s="689" t="s">
        <v>163</v>
      </c>
      <c r="C21" s="689" t="s">
        <v>139</v>
      </c>
      <c r="D21" s="691">
        <f>E18+1</f>
        <v>43895</v>
      </c>
      <c r="E21" s="691">
        <f t="shared" ref="E21" si="5">D21+G21</f>
        <v>43899</v>
      </c>
      <c r="F21" s="694">
        <f t="shared" ref="F21" si="6">NETWORKDAYS(D21,E21,$A$48:$A$56)</f>
        <v>3</v>
      </c>
      <c r="G21" s="689">
        <v>4</v>
      </c>
      <c r="H21" s="141">
        <v>1</v>
      </c>
      <c r="I21" s="141"/>
      <c r="J21" s="141"/>
      <c r="K21" s="141"/>
      <c r="L21" s="141"/>
      <c r="M21" s="141"/>
      <c r="N21" s="686"/>
      <c r="O21" s="689"/>
    </row>
    <row r="22" spans="1:15" ht="12.75" customHeight="1">
      <c r="A22" s="690"/>
      <c r="B22" s="690"/>
      <c r="C22" s="689"/>
      <c r="D22" s="692"/>
      <c r="E22" s="692"/>
      <c r="F22" s="695"/>
      <c r="G22" s="690"/>
      <c r="H22" s="141">
        <v>2</v>
      </c>
      <c r="I22" s="141"/>
      <c r="J22" s="141"/>
      <c r="K22" s="141"/>
      <c r="L22" s="141"/>
      <c r="M22" s="141"/>
      <c r="N22" s="687"/>
      <c r="O22" s="690"/>
    </row>
    <row r="23" spans="1:15" ht="12.75" customHeight="1">
      <c r="A23" s="690"/>
      <c r="B23" s="690"/>
      <c r="C23" s="689"/>
      <c r="D23" s="693"/>
      <c r="E23" s="693"/>
      <c r="F23" s="696"/>
      <c r="G23" s="690"/>
      <c r="H23" s="141">
        <v>3</v>
      </c>
      <c r="I23" s="141"/>
      <c r="J23" s="141"/>
      <c r="K23" s="141"/>
      <c r="L23" s="141"/>
      <c r="M23" s="141"/>
      <c r="N23" s="688"/>
      <c r="O23" s="690"/>
    </row>
    <row r="24" spans="1:15" ht="13.8">
      <c r="A24" s="689" t="s">
        <v>164</v>
      </c>
      <c r="B24" s="689" t="s">
        <v>165</v>
      </c>
      <c r="C24" s="689" t="s">
        <v>139</v>
      </c>
      <c r="D24" s="691">
        <f>E21+1</f>
        <v>43900</v>
      </c>
      <c r="E24" s="691">
        <f t="shared" ref="E24" si="7">D24+G24</f>
        <v>43907</v>
      </c>
      <c r="F24" s="694">
        <f t="shared" ref="F24" si="8">NETWORKDAYS(D24,E24,$A$48:$A$56)</f>
        <v>6</v>
      </c>
      <c r="G24" s="689">
        <v>7</v>
      </c>
      <c r="H24" s="141">
        <v>1</v>
      </c>
      <c r="I24" s="141"/>
      <c r="J24" s="141"/>
      <c r="K24" s="141"/>
      <c r="L24" s="141"/>
      <c r="M24" s="141"/>
      <c r="N24" s="686"/>
      <c r="O24" s="689"/>
    </row>
    <row r="25" spans="1:15" ht="12.75" customHeight="1">
      <c r="A25" s="690"/>
      <c r="B25" s="690"/>
      <c r="C25" s="689"/>
      <c r="D25" s="692"/>
      <c r="E25" s="692"/>
      <c r="F25" s="695"/>
      <c r="G25" s="690"/>
      <c r="H25" s="141">
        <v>2</v>
      </c>
      <c r="I25" s="141"/>
      <c r="J25" s="141"/>
      <c r="K25" s="141"/>
      <c r="L25" s="141"/>
      <c r="M25" s="141"/>
      <c r="N25" s="687"/>
      <c r="O25" s="690"/>
    </row>
    <row r="26" spans="1:15" ht="12.75" customHeight="1">
      <c r="A26" s="690"/>
      <c r="B26" s="690"/>
      <c r="C26" s="689"/>
      <c r="D26" s="693"/>
      <c r="E26" s="693"/>
      <c r="F26" s="696"/>
      <c r="G26" s="690"/>
      <c r="H26" s="141">
        <v>3</v>
      </c>
      <c r="I26" s="141"/>
      <c r="J26" s="141"/>
      <c r="K26" s="141"/>
      <c r="L26" s="141"/>
      <c r="M26" s="141"/>
      <c r="N26" s="688"/>
      <c r="O26" s="690"/>
    </row>
    <row r="27" spans="1:15" ht="13.8">
      <c r="A27" s="689" t="s">
        <v>166</v>
      </c>
      <c r="B27" s="689" t="s">
        <v>167</v>
      </c>
      <c r="C27" s="689" t="s">
        <v>139</v>
      </c>
      <c r="D27" s="691">
        <f>E24+1</f>
        <v>43908</v>
      </c>
      <c r="E27" s="691">
        <f t="shared" ref="E27" si="9">D27+G27</f>
        <v>43913</v>
      </c>
      <c r="F27" s="694">
        <f t="shared" ref="F27" si="10">NETWORKDAYS(D27,E27,$A$48:$A$56)</f>
        <v>4</v>
      </c>
      <c r="G27" s="689">
        <v>5</v>
      </c>
      <c r="H27" s="141">
        <v>1</v>
      </c>
      <c r="I27" s="141"/>
      <c r="J27" s="141"/>
      <c r="K27" s="141"/>
      <c r="L27" s="141"/>
      <c r="M27" s="141"/>
      <c r="N27" s="686"/>
      <c r="O27" s="689"/>
    </row>
    <row r="28" spans="1:15" ht="12.75" customHeight="1">
      <c r="A28" s="690"/>
      <c r="B28" s="690"/>
      <c r="C28" s="689"/>
      <c r="D28" s="692"/>
      <c r="E28" s="692"/>
      <c r="F28" s="695"/>
      <c r="G28" s="690"/>
      <c r="H28" s="141">
        <v>2</v>
      </c>
      <c r="I28" s="141"/>
      <c r="J28" s="141"/>
      <c r="K28" s="141"/>
      <c r="L28" s="141"/>
      <c r="M28" s="141"/>
      <c r="N28" s="687"/>
      <c r="O28" s="690"/>
    </row>
    <row r="29" spans="1:15" ht="12.75" customHeight="1">
      <c r="A29" s="690"/>
      <c r="B29" s="690"/>
      <c r="C29" s="689"/>
      <c r="D29" s="693"/>
      <c r="E29" s="693"/>
      <c r="F29" s="696"/>
      <c r="G29" s="690"/>
      <c r="H29" s="141">
        <v>3</v>
      </c>
      <c r="I29" s="141"/>
      <c r="J29" s="141"/>
      <c r="K29" s="141"/>
      <c r="L29" s="141"/>
      <c r="M29" s="141"/>
      <c r="N29" s="688"/>
      <c r="O29" s="690"/>
    </row>
    <row r="30" spans="1:15" ht="13.8">
      <c r="A30" s="689" t="s">
        <v>168</v>
      </c>
      <c r="B30" s="689" t="s">
        <v>169</v>
      </c>
      <c r="C30" s="689" t="s">
        <v>139</v>
      </c>
      <c r="D30" s="691">
        <f>E27+1</f>
        <v>43914</v>
      </c>
      <c r="E30" s="691">
        <f t="shared" ref="E30" si="11">D30+G30</f>
        <v>43916</v>
      </c>
      <c r="F30" s="694">
        <f t="shared" ref="F30" si="12">NETWORKDAYS(D30,E30,$A$48:$A$56)</f>
        <v>3</v>
      </c>
      <c r="G30" s="689">
        <v>2</v>
      </c>
      <c r="H30" s="141">
        <v>1</v>
      </c>
      <c r="I30" s="141"/>
      <c r="J30" s="141"/>
      <c r="K30" s="141"/>
      <c r="L30" s="141"/>
      <c r="M30" s="141"/>
      <c r="N30" s="686"/>
      <c r="O30" s="689"/>
    </row>
    <row r="31" spans="1:15" ht="12.75" customHeight="1">
      <c r="A31" s="690"/>
      <c r="B31" s="690"/>
      <c r="C31" s="689"/>
      <c r="D31" s="692"/>
      <c r="E31" s="692"/>
      <c r="F31" s="695"/>
      <c r="G31" s="690"/>
      <c r="H31" s="141">
        <v>2</v>
      </c>
      <c r="I31" s="141"/>
      <c r="J31" s="141"/>
      <c r="K31" s="141"/>
      <c r="L31" s="141"/>
      <c r="M31" s="141"/>
      <c r="N31" s="687"/>
      <c r="O31" s="690"/>
    </row>
    <row r="32" spans="1:15" ht="12.75" customHeight="1">
      <c r="A32" s="690"/>
      <c r="B32" s="690"/>
      <c r="C32" s="689"/>
      <c r="D32" s="693"/>
      <c r="E32" s="693"/>
      <c r="F32" s="696"/>
      <c r="G32" s="690"/>
      <c r="H32" s="141">
        <v>3</v>
      </c>
      <c r="I32" s="141"/>
      <c r="J32" s="141"/>
      <c r="K32" s="141"/>
      <c r="L32" s="141"/>
      <c r="M32" s="141"/>
      <c r="N32" s="688"/>
      <c r="O32" s="690"/>
    </row>
    <row r="33" spans="1:16" ht="13.8">
      <c r="A33" s="689" t="s">
        <v>170</v>
      </c>
      <c r="B33" s="689" t="s">
        <v>171</v>
      </c>
      <c r="C33" s="689" t="s">
        <v>139</v>
      </c>
      <c r="D33" s="691">
        <f>E30+1</f>
        <v>43917</v>
      </c>
      <c r="E33" s="691">
        <f t="shared" ref="E33" si="13">D33+G33</f>
        <v>43921</v>
      </c>
      <c r="F33" s="694">
        <f>NETWORKDAYS(D33,E33,$A$48:$A$56)</f>
        <v>3</v>
      </c>
      <c r="G33" s="689">
        <v>4</v>
      </c>
      <c r="H33" s="141">
        <v>1</v>
      </c>
      <c r="I33" s="141"/>
      <c r="J33" s="141"/>
      <c r="K33" s="141"/>
      <c r="L33" s="141"/>
      <c r="M33" s="141"/>
      <c r="N33" s="686"/>
      <c r="O33" s="689"/>
      <c r="P33" s="137"/>
    </row>
    <row r="34" spans="1:16" ht="12.75" customHeight="1">
      <c r="A34" s="690"/>
      <c r="B34" s="690"/>
      <c r="C34" s="689"/>
      <c r="D34" s="692"/>
      <c r="E34" s="692"/>
      <c r="F34" s="695"/>
      <c r="G34" s="690"/>
      <c r="H34" s="141">
        <v>2</v>
      </c>
      <c r="I34" s="141"/>
      <c r="J34" s="141"/>
      <c r="K34" s="141"/>
      <c r="L34" s="141"/>
      <c r="M34" s="141"/>
      <c r="N34" s="687"/>
      <c r="O34" s="690"/>
      <c r="P34" s="137"/>
    </row>
    <row r="35" spans="1:16" ht="12.75" customHeight="1">
      <c r="A35" s="690"/>
      <c r="B35" s="690"/>
      <c r="C35" s="689"/>
      <c r="D35" s="693"/>
      <c r="E35" s="693"/>
      <c r="F35" s="696"/>
      <c r="G35" s="690"/>
      <c r="H35" s="141">
        <v>3</v>
      </c>
      <c r="I35" s="141"/>
      <c r="J35" s="141"/>
      <c r="K35" s="141"/>
      <c r="L35" s="141"/>
      <c r="M35" s="141"/>
      <c r="N35" s="688"/>
      <c r="O35" s="690"/>
      <c r="P35" s="137"/>
    </row>
    <row r="36" spans="1:16" ht="13.8">
      <c r="A36" s="689" t="s">
        <v>172</v>
      </c>
      <c r="B36" s="689" t="s">
        <v>173</v>
      </c>
      <c r="C36" s="689" t="s">
        <v>139</v>
      </c>
      <c r="D36" s="691">
        <f>E33+1</f>
        <v>43922</v>
      </c>
      <c r="E36" s="691">
        <f t="shared" ref="E36" si="14">D36+G36</f>
        <v>43924</v>
      </c>
      <c r="F36" s="694">
        <f t="shared" ref="F36" si="15">NETWORKDAYS(D36,E36,$A$48:$A$56)</f>
        <v>3</v>
      </c>
      <c r="G36" s="689">
        <v>2</v>
      </c>
      <c r="H36" s="141">
        <v>1</v>
      </c>
      <c r="I36" s="141"/>
      <c r="J36" s="141"/>
      <c r="K36" s="141"/>
      <c r="L36" s="141"/>
      <c r="M36" s="141"/>
      <c r="N36" s="686"/>
      <c r="O36" s="689"/>
      <c r="P36" s="137"/>
    </row>
    <row r="37" spans="1:16" ht="12.75" customHeight="1">
      <c r="A37" s="690"/>
      <c r="B37" s="690"/>
      <c r="C37" s="689"/>
      <c r="D37" s="692"/>
      <c r="E37" s="692"/>
      <c r="F37" s="695"/>
      <c r="G37" s="690"/>
      <c r="H37" s="141">
        <v>2</v>
      </c>
      <c r="I37" s="141"/>
      <c r="J37" s="141"/>
      <c r="K37" s="141"/>
      <c r="L37" s="141"/>
      <c r="M37" s="141"/>
      <c r="N37" s="687"/>
      <c r="O37" s="690"/>
      <c r="P37" s="137"/>
    </row>
    <row r="38" spans="1:16" ht="12.75" customHeight="1">
      <c r="A38" s="690"/>
      <c r="B38" s="690"/>
      <c r="C38" s="689"/>
      <c r="D38" s="693"/>
      <c r="E38" s="693"/>
      <c r="F38" s="696"/>
      <c r="G38" s="690"/>
      <c r="H38" s="141">
        <v>3</v>
      </c>
      <c r="I38" s="141"/>
      <c r="J38" s="141"/>
      <c r="K38" s="141"/>
      <c r="L38" s="141"/>
      <c r="M38" s="141"/>
      <c r="N38" s="688"/>
      <c r="O38" s="690"/>
      <c r="P38" s="137"/>
    </row>
    <row r="39" spans="1:16" ht="13.8">
      <c r="A39" s="689" t="s">
        <v>174</v>
      </c>
      <c r="B39" s="689" t="s">
        <v>175</v>
      </c>
      <c r="C39" s="689" t="s">
        <v>139</v>
      </c>
      <c r="D39" s="691">
        <f>E36+3</f>
        <v>43927</v>
      </c>
      <c r="E39" s="691">
        <f t="shared" ref="E39" si="16">D39+G39</f>
        <v>43931</v>
      </c>
      <c r="F39" s="694">
        <f t="shared" ref="F39" si="17">NETWORKDAYS(D39,E39,$A$48:$A$56)</f>
        <v>5</v>
      </c>
      <c r="G39" s="689">
        <v>4</v>
      </c>
      <c r="H39" s="141">
        <v>1</v>
      </c>
      <c r="I39" s="141"/>
      <c r="J39" s="141"/>
      <c r="K39" s="141"/>
      <c r="L39" s="141"/>
      <c r="M39" s="141"/>
      <c r="N39" s="686"/>
      <c r="O39" s="689"/>
      <c r="P39" s="137"/>
    </row>
    <row r="40" spans="1:16" ht="12.75" customHeight="1">
      <c r="A40" s="690"/>
      <c r="B40" s="690"/>
      <c r="C40" s="689"/>
      <c r="D40" s="692"/>
      <c r="E40" s="692"/>
      <c r="F40" s="695"/>
      <c r="G40" s="690"/>
      <c r="H40" s="141">
        <v>2</v>
      </c>
      <c r="I40" s="141"/>
      <c r="J40" s="141"/>
      <c r="K40" s="141"/>
      <c r="L40" s="141"/>
      <c r="M40" s="141"/>
      <c r="N40" s="687"/>
      <c r="O40" s="690"/>
      <c r="P40" s="137"/>
    </row>
    <row r="41" spans="1:16" ht="12.75" customHeight="1">
      <c r="A41" s="690"/>
      <c r="B41" s="690"/>
      <c r="C41" s="689"/>
      <c r="D41" s="693"/>
      <c r="E41" s="693"/>
      <c r="F41" s="696"/>
      <c r="G41" s="690"/>
      <c r="H41" s="141">
        <v>3</v>
      </c>
      <c r="I41" s="141"/>
      <c r="J41" s="141"/>
      <c r="K41" s="141"/>
      <c r="L41" s="141"/>
      <c r="M41" s="141"/>
      <c r="N41" s="688"/>
      <c r="O41" s="690"/>
      <c r="P41" s="137"/>
    </row>
    <row r="42" spans="1:16" ht="13.8">
      <c r="A42" s="689" t="s">
        <v>176</v>
      </c>
      <c r="B42" s="689" t="s">
        <v>177</v>
      </c>
      <c r="C42" s="689" t="s">
        <v>139</v>
      </c>
      <c r="D42" s="691">
        <f>E39+3</f>
        <v>43934</v>
      </c>
      <c r="E42" s="691">
        <f t="shared" ref="E42" si="18">D42+G42</f>
        <v>43939</v>
      </c>
      <c r="F42" s="694">
        <f t="shared" ref="F42" si="19">NETWORKDAYS(D42,E42,$A$48:$A$56)</f>
        <v>5</v>
      </c>
      <c r="G42" s="689">
        <v>5</v>
      </c>
      <c r="H42" s="141">
        <v>1</v>
      </c>
      <c r="I42" s="141"/>
      <c r="J42" s="141"/>
      <c r="K42" s="141"/>
      <c r="L42" s="141"/>
      <c r="M42" s="141"/>
      <c r="N42" s="686"/>
      <c r="O42" s="689"/>
      <c r="P42" s="137"/>
    </row>
    <row r="43" spans="1:16" ht="12.75" customHeight="1">
      <c r="A43" s="690"/>
      <c r="B43" s="690"/>
      <c r="C43" s="689"/>
      <c r="D43" s="692"/>
      <c r="E43" s="692"/>
      <c r="F43" s="695"/>
      <c r="G43" s="690"/>
      <c r="H43" s="141">
        <v>2</v>
      </c>
      <c r="I43" s="141"/>
      <c r="J43" s="141"/>
      <c r="K43" s="141"/>
      <c r="L43" s="141"/>
      <c r="M43" s="141"/>
      <c r="N43" s="687"/>
      <c r="O43" s="690"/>
      <c r="P43" s="137"/>
    </row>
    <row r="44" spans="1:16" ht="12.75" customHeight="1">
      <c r="A44" s="690"/>
      <c r="B44" s="690"/>
      <c r="C44" s="689"/>
      <c r="D44" s="693"/>
      <c r="E44" s="693"/>
      <c r="F44" s="696"/>
      <c r="G44" s="690"/>
      <c r="H44" s="141">
        <v>3</v>
      </c>
      <c r="I44" s="141"/>
      <c r="J44" s="141"/>
      <c r="K44" s="141"/>
      <c r="L44" s="141"/>
      <c r="M44" s="141"/>
      <c r="N44" s="688"/>
      <c r="O44" s="690"/>
      <c r="P44" s="137"/>
    </row>
    <row r="45" spans="1:16" ht="13.8">
      <c r="A45" s="689" t="s">
        <v>947</v>
      </c>
      <c r="B45" s="689" t="s">
        <v>948</v>
      </c>
      <c r="C45" s="689" t="s">
        <v>139</v>
      </c>
      <c r="D45" s="691">
        <f t="shared" ref="D45" si="20">E42+1</f>
        <v>43940</v>
      </c>
      <c r="E45" s="691">
        <v>43948</v>
      </c>
      <c r="F45" s="694">
        <f t="shared" ref="F45" si="21">NETWORKDAYS(D45,E45)</f>
        <v>6</v>
      </c>
      <c r="G45" s="689"/>
      <c r="H45" s="141">
        <v>1</v>
      </c>
      <c r="I45" s="141"/>
      <c r="J45" s="141"/>
      <c r="K45" s="141"/>
      <c r="L45" s="141"/>
      <c r="M45" s="141"/>
      <c r="N45" s="686"/>
      <c r="O45" s="689"/>
      <c r="P45" s="137"/>
    </row>
    <row r="46" spans="1:16" ht="12.75" customHeight="1">
      <c r="A46" s="690"/>
      <c r="B46" s="690"/>
      <c r="C46" s="689"/>
      <c r="D46" s="692"/>
      <c r="E46" s="692"/>
      <c r="F46" s="695"/>
      <c r="G46" s="690"/>
      <c r="H46" s="141">
        <v>2</v>
      </c>
      <c r="I46" s="141"/>
      <c r="J46" s="141"/>
      <c r="K46" s="141"/>
      <c r="L46" s="141"/>
      <c r="M46" s="141"/>
      <c r="N46" s="687"/>
      <c r="O46" s="690"/>
      <c r="P46" s="137"/>
    </row>
    <row r="47" spans="1:16" ht="12.75" customHeight="1">
      <c r="A47" s="690"/>
      <c r="B47" s="690"/>
      <c r="C47" s="689"/>
      <c r="D47" s="693"/>
      <c r="E47" s="693"/>
      <c r="F47" s="696"/>
      <c r="G47" s="690"/>
      <c r="H47" s="141">
        <v>3</v>
      </c>
      <c r="I47" s="141"/>
      <c r="J47" s="141"/>
      <c r="K47" s="141"/>
      <c r="L47" s="141"/>
      <c r="M47" s="141"/>
      <c r="N47" s="688"/>
      <c r="O47" s="690"/>
      <c r="P47" s="137"/>
    </row>
    <row r="48" spans="1:16">
      <c r="A48" s="600">
        <v>43824</v>
      </c>
    </row>
    <row r="49" spans="1:1">
      <c r="A49" s="609">
        <v>43831</v>
      </c>
    </row>
    <row r="50" spans="1:1">
      <c r="A50" s="600">
        <v>43854</v>
      </c>
    </row>
    <row r="51" spans="1:1">
      <c r="A51" s="600">
        <v>43855</v>
      </c>
    </row>
    <row r="52" spans="1:1">
      <c r="A52" s="600">
        <v>43856</v>
      </c>
    </row>
    <row r="53" spans="1:1">
      <c r="A53" s="600">
        <v>43857</v>
      </c>
    </row>
    <row r="54" spans="1:1">
      <c r="A54" s="600">
        <v>43858</v>
      </c>
    </row>
    <row r="55" spans="1:1">
      <c r="A55" s="600">
        <v>43859</v>
      </c>
    </row>
    <row r="56" spans="1:1">
      <c r="A56" s="600">
        <v>43860</v>
      </c>
    </row>
  </sheetData>
  <mergeCells count="123">
    <mergeCell ref="A5:B7"/>
    <mergeCell ref="D5:G7"/>
    <mergeCell ref="H5:M7"/>
    <mergeCell ref="N5:N7"/>
    <mergeCell ref="O5:O7"/>
    <mergeCell ref="N9:N11"/>
    <mergeCell ref="O9:O11"/>
    <mergeCell ref="A12:A14"/>
    <mergeCell ref="B12:B14"/>
    <mergeCell ref="D12:D14"/>
    <mergeCell ref="E12:E14"/>
    <mergeCell ref="G12:G14"/>
    <mergeCell ref="N12:N14"/>
    <mergeCell ref="O12:O14"/>
    <mergeCell ref="A9:A11"/>
    <mergeCell ref="B9:B11"/>
    <mergeCell ref="D9:D11"/>
    <mergeCell ref="E9:E11"/>
    <mergeCell ref="G9:G11"/>
    <mergeCell ref="C5:C7"/>
    <mergeCell ref="C12:C14"/>
    <mergeCell ref="C9:C11"/>
    <mergeCell ref="F9:F11"/>
    <mergeCell ref="F12:F14"/>
    <mergeCell ref="N15:N17"/>
    <mergeCell ref="O15:O17"/>
    <mergeCell ref="A18:A20"/>
    <mergeCell ref="B18:B20"/>
    <mergeCell ref="D18:D20"/>
    <mergeCell ref="E18:E20"/>
    <mergeCell ref="G18:G20"/>
    <mergeCell ref="N18:N20"/>
    <mergeCell ref="O18:O20"/>
    <mergeCell ref="A15:A17"/>
    <mergeCell ref="B15:B17"/>
    <mergeCell ref="D15:D17"/>
    <mergeCell ref="E15:E17"/>
    <mergeCell ref="G15:G17"/>
    <mergeCell ref="C18:C20"/>
    <mergeCell ref="C15:C17"/>
    <mergeCell ref="F15:F17"/>
    <mergeCell ref="F18:F20"/>
    <mergeCell ref="N21:N23"/>
    <mergeCell ref="O21:O23"/>
    <mergeCell ref="A24:A26"/>
    <mergeCell ref="B24:B26"/>
    <mergeCell ref="D24:D26"/>
    <mergeCell ref="E24:E26"/>
    <mergeCell ref="G24:G26"/>
    <mergeCell ref="N24:N26"/>
    <mergeCell ref="O24:O26"/>
    <mergeCell ref="A21:A23"/>
    <mergeCell ref="B21:B23"/>
    <mergeCell ref="D21:D23"/>
    <mergeCell ref="E21:E23"/>
    <mergeCell ref="G21:G23"/>
    <mergeCell ref="C21:C23"/>
    <mergeCell ref="C24:C26"/>
    <mergeCell ref="F21:F23"/>
    <mergeCell ref="F24:F26"/>
    <mergeCell ref="F39:F41"/>
    <mergeCell ref="F42:F44"/>
    <mergeCell ref="F45:F47"/>
    <mergeCell ref="N27:N29"/>
    <mergeCell ref="O27:O29"/>
    <mergeCell ref="A30:A32"/>
    <mergeCell ref="B30:B32"/>
    <mergeCell ref="D30:D32"/>
    <mergeCell ref="E30:E32"/>
    <mergeCell ref="G30:G32"/>
    <mergeCell ref="N30:N32"/>
    <mergeCell ref="O30:O32"/>
    <mergeCell ref="A27:A29"/>
    <mergeCell ref="B27:B29"/>
    <mergeCell ref="D27:D29"/>
    <mergeCell ref="E27:E29"/>
    <mergeCell ref="G27:G29"/>
    <mergeCell ref="C30:C32"/>
    <mergeCell ref="C27:C29"/>
    <mergeCell ref="F27:F29"/>
    <mergeCell ref="F30:F32"/>
    <mergeCell ref="N33:N35"/>
    <mergeCell ref="O33:O35"/>
    <mergeCell ref="A36:A38"/>
    <mergeCell ref="B36:B38"/>
    <mergeCell ref="D36:D38"/>
    <mergeCell ref="E36:E38"/>
    <mergeCell ref="G36:G38"/>
    <mergeCell ref="N36:N38"/>
    <mergeCell ref="O36:O38"/>
    <mergeCell ref="A33:A35"/>
    <mergeCell ref="B33:B35"/>
    <mergeCell ref="D33:D35"/>
    <mergeCell ref="E33:E35"/>
    <mergeCell ref="G33:G35"/>
    <mergeCell ref="C36:C38"/>
    <mergeCell ref="C33:C35"/>
    <mergeCell ref="F33:F35"/>
    <mergeCell ref="F36:F38"/>
    <mergeCell ref="N45:N47"/>
    <mergeCell ref="O45:O47"/>
    <mergeCell ref="A45:A47"/>
    <mergeCell ref="B45:B47"/>
    <mergeCell ref="D45:D47"/>
    <mergeCell ref="E45:E47"/>
    <mergeCell ref="G45:G47"/>
    <mergeCell ref="N39:N41"/>
    <mergeCell ref="O39:O41"/>
    <mergeCell ref="A42:A44"/>
    <mergeCell ref="B42:B44"/>
    <mergeCell ref="D42:D44"/>
    <mergeCell ref="E42:E44"/>
    <mergeCell ref="G42:G44"/>
    <mergeCell ref="N42:N44"/>
    <mergeCell ref="O42:O44"/>
    <mergeCell ref="A39:A41"/>
    <mergeCell ref="B39:B41"/>
    <mergeCell ref="D39:D41"/>
    <mergeCell ref="E39:E41"/>
    <mergeCell ref="G39:G41"/>
    <mergeCell ref="C45:C47"/>
    <mergeCell ref="C42:C44"/>
    <mergeCell ref="C39:C41"/>
  </mergeCells>
  <phoneticPr fontId="104" type="noConversion"/>
  <dataValidations count="2">
    <dataValidation type="list" allowBlank="1" showInputMessage="1" showErrorMessage="1" sqref="C9:C47">
      <formula1>cyclestatus</formula1>
    </dataValidation>
    <dataValidation type="list" allowBlank="1" showInputMessage="1" showErrorMessage="1" sqref="O9:O47">
      <formula1>crmstatus</formula1>
    </dataValidation>
  </dataValidations>
  <pageMargins left="0.7" right="0.7" top="0.75" bottom="0.75" header="0.3" footer="0.3"/>
  <pageSetup paperSize="9" orientation="portrait" horizontalDpi="0" verticalDpi="0" r:id="rId1"/>
  <drawing r:id="rId2"/>
  <legacyDrawing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46"/>
  <sheetViews>
    <sheetView workbookViewId="0">
      <pane xSplit="1" ySplit="9" topLeftCell="T30" activePane="bottomRight" state="frozen"/>
      <selection pane="topRight" activeCell="B1" sqref="B1"/>
      <selection pane="bottomLeft" activeCell="A10" sqref="A10"/>
      <selection pane="bottomRight" activeCell="AB39" sqref="AB39:AB40"/>
    </sheetView>
  </sheetViews>
  <sheetFormatPr defaultRowHeight="13.8"/>
  <cols>
    <col min="1" max="1" width="31" style="5" bestFit="1" customWidth="1"/>
    <col min="2" max="5" width="10.77734375" style="5" customWidth="1"/>
    <col min="6" max="8" width="10.77734375" customWidth="1"/>
    <col min="9" max="9" width="11.6640625" bestFit="1" customWidth="1"/>
    <col min="10" max="15" width="10.77734375" customWidth="1"/>
    <col min="16" max="16" width="12.6640625" bestFit="1" customWidth="1"/>
    <col min="17" max="18" width="12.77734375" customWidth="1"/>
    <col min="19" max="21" width="10.77734375" customWidth="1"/>
    <col min="22" max="26" width="9.33203125" style="5" customWidth="1"/>
    <col min="27" max="27" width="10.77734375" style="5" bestFit="1" customWidth="1"/>
    <col min="28" max="29" width="9.33203125" style="5" customWidth="1"/>
  </cols>
  <sheetData>
    <row r="1" spans="1:29" s="3" customFormat="1" ht="20.399999999999999">
      <c r="A1" s="110" t="s">
        <v>6</v>
      </c>
      <c r="B1" s="110"/>
      <c r="C1" s="110"/>
      <c r="D1" s="110"/>
      <c r="E1" s="110"/>
      <c r="F1" s="449"/>
      <c r="L1" s="8"/>
      <c r="X1" s="1"/>
      <c r="Y1" s="1"/>
      <c r="Z1" s="1"/>
      <c r="AA1" s="1"/>
      <c r="AB1" s="1"/>
      <c r="AC1" s="1"/>
    </row>
    <row r="2" spans="1:29" s="3" customFormat="1" ht="12.75" customHeight="1">
      <c r="B2" s="116"/>
      <c r="C2" s="116"/>
      <c r="D2" s="116"/>
      <c r="E2" s="115"/>
      <c r="V2" s="22"/>
      <c r="W2" s="22"/>
      <c r="X2" s="22"/>
      <c r="Y2" s="22"/>
      <c r="Z2" s="22"/>
      <c r="AA2" s="2"/>
      <c r="AC2" s="2"/>
    </row>
    <row r="3" spans="1:29" s="3" customFormat="1" ht="30">
      <c r="A3" s="112" t="s">
        <v>1203</v>
      </c>
      <c r="B3" s="116"/>
      <c r="C3" s="116"/>
      <c r="D3" s="116"/>
      <c r="E3" s="112"/>
      <c r="V3" s="22"/>
      <c r="W3" s="22"/>
      <c r="X3" s="22"/>
      <c r="Y3" s="22"/>
      <c r="Z3" s="22"/>
      <c r="AA3" s="2"/>
      <c r="AC3" s="2"/>
    </row>
    <row r="4" spans="1:29" s="116" customFormat="1">
      <c r="A4" s="116" t="s">
        <v>541</v>
      </c>
      <c r="B4" s="367">
        <v>23205</v>
      </c>
    </row>
    <row r="5" spans="1:29" s="116" customFormat="1">
      <c r="A5" s="116" t="s">
        <v>1273</v>
      </c>
      <c r="B5" s="367">
        <v>23500</v>
      </c>
    </row>
    <row r="6" spans="1:29" s="3" customFormat="1" ht="18" customHeight="1">
      <c r="A6" s="327">
        <v>43799</v>
      </c>
      <c r="B6" s="116"/>
      <c r="C6" s="116"/>
      <c r="D6" s="116"/>
      <c r="G6" s="721" t="s">
        <v>52</v>
      </c>
      <c r="H6" s="721"/>
      <c r="I6" s="721"/>
      <c r="J6" s="721"/>
      <c r="V6" s="22"/>
      <c r="W6" s="22"/>
      <c r="X6" s="720" t="s">
        <v>65</v>
      </c>
      <c r="Y6" s="720"/>
      <c r="Z6" s="720"/>
      <c r="AA6" s="720"/>
      <c r="AB6" s="2"/>
      <c r="AC6" s="2"/>
    </row>
    <row r="7" spans="1:29" s="4" customFormat="1">
      <c r="A7" s="409"/>
      <c r="B7" s="323" t="s">
        <v>34</v>
      </c>
      <c r="C7" s="324" t="s">
        <v>35</v>
      </c>
      <c r="D7" s="324" t="s">
        <v>36</v>
      </c>
      <c r="E7" s="324" t="s">
        <v>37</v>
      </c>
      <c r="F7" s="324" t="s">
        <v>38</v>
      </c>
      <c r="G7" s="324" t="s">
        <v>39</v>
      </c>
      <c r="H7" s="324" t="s">
        <v>40</v>
      </c>
      <c r="I7" s="324" t="s">
        <v>41</v>
      </c>
      <c r="J7" s="324" t="s">
        <v>42</v>
      </c>
      <c r="K7" s="324" t="s">
        <v>43</v>
      </c>
      <c r="L7" s="324" t="s">
        <v>44</v>
      </c>
      <c r="M7" s="324" t="s">
        <v>45</v>
      </c>
      <c r="N7" s="324" t="s">
        <v>46</v>
      </c>
      <c r="O7" s="324" t="s">
        <v>47</v>
      </c>
      <c r="P7" s="731" t="s">
        <v>500</v>
      </c>
      <c r="Q7" s="349" t="s">
        <v>516</v>
      </c>
      <c r="R7" s="349" t="s">
        <v>517</v>
      </c>
      <c r="S7" s="349" t="s">
        <v>519</v>
      </c>
      <c r="T7" s="349" t="s">
        <v>521</v>
      </c>
      <c r="U7" s="349" t="s">
        <v>523</v>
      </c>
      <c r="V7" s="350"/>
      <c r="W7" s="351"/>
      <c r="X7" s="351"/>
      <c r="Y7" s="351"/>
      <c r="Z7" s="351"/>
      <c r="AA7" s="351"/>
      <c r="AB7" s="351"/>
      <c r="AC7" s="352"/>
    </row>
    <row r="8" spans="1:29" ht="15.6">
      <c r="A8" s="410"/>
      <c r="B8" s="117">
        <f>'New Hire'!C6</f>
        <v>91999901</v>
      </c>
      <c r="C8" s="339">
        <f>'New Hire'!D6</f>
        <v>91999902</v>
      </c>
      <c r="D8" s="339">
        <f>'New Hire'!E6</f>
        <v>91999903</v>
      </c>
      <c r="E8" s="339">
        <f>'New Hire'!F6</f>
        <v>91999904</v>
      </c>
      <c r="F8" s="339">
        <f>'New Hire'!G6</f>
        <v>91999905</v>
      </c>
      <c r="G8" s="339">
        <f>'New Hire'!H6</f>
        <v>91999906</v>
      </c>
      <c r="H8" s="339">
        <f>'New Hire'!I6</f>
        <v>91999907</v>
      </c>
      <c r="I8" s="339">
        <f>'New Hire'!J6</f>
        <v>91999908</v>
      </c>
      <c r="J8" s="339">
        <f>'New Hire'!K6</f>
        <v>91999909</v>
      </c>
      <c r="K8" s="339">
        <f>'New Hire'!L6</f>
        <v>91999910</v>
      </c>
      <c r="L8" s="339">
        <f>'New Hire'!M6</f>
        <v>91999911</v>
      </c>
      <c r="M8" s="339">
        <f>'New Hire'!N6</f>
        <v>91999912</v>
      </c>
      <c r="N8" s="339">
        <f>'New Hire'!O6</f>
        <v>91999913</v>
      </c>
      <c r="O8" s="339">
        <f>'New Hire'!P6</f>
        <v>91999914</v>
      </c>
      <c r="P8" s="732"/>
      <c r="Q8" s="349" t="s">
        <v>515</v>
      </c>
      <c r="R8" s="349" t="s">
        <v>518</v>
      </c>
      <c r="S8" s="349" t="s">
        <v>520</v>
      </c>
      <c r="T8" s="349" t="s">
        <v>522</v>
      </c>
      <c r="U8" s="349" t="s">
        <v>524</v>
      </c>
      <c r="V8" s="47"/>
      <c r="W8" s="48"/>
      <c r="X8" s="20"/>
      <c r="Y8" s="20"/>
      <c r="Z8" s="20"/>
      <c r="AA8" s="20"/>
      <c r="AB8" s="20"/>
      <c r="AC8" s="15"/>
    </row>
    <row r="9" spans="1:29" ht="12.75" customHeight="1">
      <c r="A9" s="411" t="s">
        <v>63</v>
      </c>
      <c r="B9" s="23"/>
      <c r="C9" s="19"/>
      <c r="D9" s="19"/>
      <c r="E9" s="20"/>
      <c r="F9" s="19"/>
      <c r="G9" s="19"/>
      <c r="H9" s="21"/>
      <c r="I9" s="19"/>
      <c r="J9" s="19"/>
      <c r="K9" s="20"/>
      <c r="L9" s="20"/>
      <c r="M9" s="20"/>
      <c r="N9" s="20"/>
      <c r="O9" s="15"/>
      <c r="P9" s="15"/>
      <c r="Q9" s="20"/>
      <c r="R9" s="20"/>
      <c r="S9" s="20"/>
      <c r="T9" s="20"/>
      <c r="U9" s="20"/>
      <c r="V9" s="25"/>
      <c r="W9" s="26"/>
      <c r="X9" s="722" t="s">
        <v>608</v>
      </c>
      <c r="Y9" s="723"/>
      <c r="Z9" s="723"/>
      <c r="AA9" s="724"/>
      <c r="AB9" s="27"/>
      <c r="AC9" s="18"/>
    </row>
    <row r="10" spans="1:29">
      <c r="A10" s="424" t="s">
        <v>480</v>
      </c>
      <c r="B10" s="385">
        <v>43770</v>
      </c>
      <c r="C10" s="385">
        <v>43770</v>
      </c>
      <c r="D10" s="385">
        <v>43770</v>
      </c>
      <c r="E10" s="385">
        <v>43770</v>
      </c>
      <c r="F10" s="385">
        <v>43770</v>
      </c>
      <c r="G10" s="385">
        <v>43770</v>
      </c>
      <c r="H10" s="385">
        <v>43770</v>
      </c>
      <c r="I10" s="385">
        <v>43770</v>
      </c>
      <c r="J10" s="385">
        <v>43770</v>
      </c>
      <c r="K10" s="385">
        <v>43770</v>
      </c>
      <c r="L10" s="385">
        <v>43770</v>
      </c>
      <c r="M10" s="385">
        <v>43770</v>
      </c>
      <c r="N10" s="385">
        <v>43770</v>
      </c>
      <c r="O10" s="385">
        <v>43770</v>
      </c>
      <c r="P10" s="15"/>
      <c r="Q10" s="20"/>
      <c r="R10" s="20"/>
      <c r="S10" s="20"/>
      <c r="T10" s="20"/>
      <c r="U10" s="20"/>
      <c r="V10" s="28"/>
      <c r="W10" s="29"/>
      <c r="X10" s="725"/>
      <c r="Y10" s="726"/>
      <c r="Z10" s="726"/>
      <c r="AA10" s="727"/>
      <c r="AB10" s="30"/>
      <c r="AC10" s="15"/>
    </row>
    <row r="11" spans="1:29" ht="12.75" customHeight="1">
      <c r="A11" s="424" t="s">
        <v>872</v>
      </c>
      <c r="B11" s="385"/>
      <c r="C11" s="385">
        <v>43792</v>
      </c>
      <c r="D11" s="385"/>
      <c r="E11" s="385"/>
      <c r="F11" s="385"/>
      <c r="G11" s="385"/>
      <c r="H11" s="385">
        <v>43799</v>
      </c>
      <c r="I11" s="385"/>
      <c r="J11" s="385"/>
      <c r="K11" s="385"/>
      <c r="L11" s="385"/>
      <c r="M11" s="385"/>
      <c r="N11" s="385">
        <v>43777</v>
      </c>
      <c r="O11" s="385"/>
      <c r="P11" s="15"/>
      <c r="Q11" s="20"/>
      <c r="R11" s="20"/>
      <c r="S11" s="20"/>
      <c r="T11" s="20"/>
      <c r="U11" s="20"/>
      <c r="V11" s="32"/>
      <c r="W11" s="20"/>
      <c r="X11" s="725"/>
      <c r="Y11" s="726"/>
      <c r="Z11" s="726"/>
      <c r="AA11" s="727"/>
      <c r="AB11" s="20"/>
      <c r="AC11" s="15"/>
    </row>
    <row r="12" spans="1:29" ht="12.75" customHeight="1">
      <c r="A12" s="99" t="s">
        <v>491</v>
      </c>
      <c r="B12" s="387" t="str">
        <f>'New Hire'!C10</f>
        <v>1</v>
      </c>
      <c r="C12" s="388" t="str">
        <f>'New Hire'!D10</f>
        <v>P</v>
      </c>
      <c r="D12" s="388" t="str">
        <f>'New Hire'!E10</f>
        <v>3</v>
      </c>
      <c r="E12" s="388" t="s">
        <v>965</v>
      </c>
      <c r="F12" s="388">
        <f>'New Hire'!G10</f>
        <v>4</v>
      </c>
      <c r="G12" s="388" t="str">
        <f>'New Hire'!H10</f>
        <v>C</v>
      </c>
      <c r="H12" s="388" t="str">
        <f>'New Hire'!I10</f>
        <v>I</v>
      </c>
      <c r="I12" s="388" t="str">
        <f>'New Hire'!J10</f>
        <v>S</v>
      </c>
      <c r="J12" s="388" t="str">
        <f>'New Hire'!K10</f>
        <v>P</v>
      </c>
      <c r="K12" s="388" t="str">
        <f>'New Hire'!L10</f>
        <v>1</v>
      </c>
      <c r="L12" s="388" t="str">
        <f>'New Hire'!M10</f>
        <v>1</v>
      </c>
      <c r="M12" s="388">
        <f>'New Hire'!N10</f>
        <v>3</v>
      </c>
      <c r="N12" s="388">
        <f>'New Hire'!O10</f>
        <v>3</v>
      </c>
      <c r="O12" s="389" t="str">
        <f>'New Hire'!P10</f>
        <v>C</v>
      </c>
      <c r="P12" s="15"/>
      <c r="Q12" s="20"/>
      <c r="R12" s="20"/>
      <c r="S12" s="20"/>
      <c r="T12" s="20"/>
      <c r="U12" s="20"/>
      <c r="V12" s="32"/>
      <c r="W12" s="20"/>
      <c r="X12" s="728"/>
      <c r="Y12" s="729"/>
      <c r="Z12" s="729"/>
      <c r="AA12" s="730"/>
      <c r="AB12" s="20"/>
      <c r="AC12" s="15"/>
    </row>
    <row r="13" spans="1:29">
      <c r="A13" s="99" t="s">
        <v>492</v>
      </c>
      <c r="B13" s="390" t="str">
        <f>'New Hire'!C11</f>
        <v>;P</v>
      </c>
      <c r="C13" s="391" t="str">
        <f>'New Hire'!D11</f>
        <v>;A</v>
      </c>
      <c r="D13" s="391" t="str">
        <f>'New Hire'!E11</f>
        <v>;E</v>
      </c>
      <c r="E13" s="391" t="str">
        <f>'New Hire'!F11</f>
        <v>;I</v>
      </c>
      <c r="F13" s="391" t="str">
        <f>'New Hire'!G11</f>
        <v>;P</v>
      </c>
      <c r="G13" s="391" t="str">
        <f>'New Hire'!H11</f>
        <v>;A</v>
      </c>
      <c r="H13" s="391" t="str">
        <f>'New Hire'!I11</f>
        <v>;A</v>
      </c>
      <c r="I13" s="391" t="str">
        <f>'New Hire'!J11</f>
        <v>;V</v>
      </c>
      <c r="J13" s="391" t="str">
        <f>'New Hire'!K11</f>
        <v>;P</v>
      </c>
      <c r="K13" s="391" t="str">
        <f>'New Hire'!L11</f>
        <v>;A</v>
      </c>
      <c r="L13" s="391" t="str">
        <f>'New Hire'!M11</f>
        <v>;I</v>
      </c>
      <c r="M13" s="391" t="str">
        <f>'New Hire'!N11</f>
        <v>;P</v>
      </c>
      <c r="N13" s="391" t="str">
        <f>'New Hire'!O11</f>
        <v>;I</v>
      </c>
      <c r="O13" s="392" t="str">
        <f>'New Hire'!P11</f>
        <v>;I</v>
      </c>
      <c r="P13" s="15"/>
      <c r="Q13" s="20"/>
      <c r="R13" s="20"/>
      <c r="S13" s="20"/>
      <c r="T13" s="20"/>
      <c r="U13" s="20"/>
      <c r="V13" s="23"/>
      <c r="W13" s="19"/>
      <c r="X13" s="19"/>
      <c r="Y13" s="19"/>
      <c r="Z13" s="19"/>
      <c r="AA13" s="19"/>
      <c r="AB13" s="19"/>
      <c r="AC13" s="31"/>
    </row>
    <row r="14" spans="1:29">
      <c r="A14" s="100" t="s">
        <v>477</v>
      </c>
      <c r="B14" s="394">
        <f>'New Hire'!C26</f>
        <v>100</v>
      </c>
      <c r="C14" s="338">
        <f>'New Hire'!D26</f>
        <v>50</v>
      </c>
      <c r="D14" s="338">
        <f>'New Hire'!E26</f>
        <v>100</v>
      </c>
      <c r="E14" s="338">
        <f>'New Hire'!F26</f>
        <v>100</v>
      </c>
      <c r="F14" s="338">
        <f>'New Hire'!G26</f>
        <v>100</v>
      </c>
      <c r="G14" s="338">
        <f>'New Hire'!H26</f>
        <v>100</v>
      </c>
      <c r="H14" s="338">
        <f>'New Hire'!I26</f>
        <v>50</v>
      </c>
      <c r="I14" s="338">
        <f>'New Hire'!J26</f>
        <v>100</v>
      </c>
      <c r="J14" s="338">
        <f>'New Hire'!K26</f>
        <v>50</v>
      </c>
      <c r="K14" s="338">
        <f>'New Hire'!L26</f>
        <v>100</v>
      </c>
      <c r="L14" s="338">
        <f>'New Hire'!M26</f>
        <v>100</v>
      </c>
      <c r="M14" s="338">
        <f>'New Hire'!N26</f>
        <v>100</v>
      </c>
      <c r="N14" s="338">
        <f>'New Hire'!O26</f>
        <v>100</v>
      </c>
      <c r="O14" s="395">
        <f>'New Hire'!P26</f>
        <v>100</v>
      </c>
      <c r="P14" s="15"/>
      <c r="Q14" s="20"/>
      <c r="R14" s="20"/>
      <c r="S14" s="20"/>
      <c r="T14" s="20"/>
      <c r="U14" s="20"/>
      <c r="V14" s="23"/>
      <c r="W14" s="19"/>
      <c r="X14" s="19"/>
      <c r="Y14" s="19"/>
      <c r="Z14" s="19"/>
      <c r="AA14" s="19"/>
      <c r="AB14" s="19"/>
      <c r="AC14" s="31"/>
    </row>
    <row r="15" spans="1:29">
      <c r="A15" s="424" t="s">
        <v>481</v>
      </c>
      <c r="B15" s="338">
        <f>IF(B11=0,NETWORKDAYS(B10,$A$6),NETWORKDAYS(B10,B11))</f>
        <v>21</v>
      </c>
      <c r="C15" s="338">
        <f t="shared" ref="C15:O15" si="0">IF(C11=0,NETWORKDAYS(C10,$A$6),NETWORKDAYS(C10,C11))</f>
        <v>16</v>
      </c>
      <c r="D15" s="338">
        <f t="shared" si="0"/>
        <v>21</v>
      </c>
      <c r="E15" s="338">
        <f t="shared" si="0"/>
        <v>21</v>
      </c>
      <c r="F15" s="338">
        <f t="shared" si="0"/>
        <v>21</v>
      </c>
      <c r="G15" s="338">
        <f t="shared" si="0"/>
        <v>21</v>
      </c>
      <c r="H15" s="338">
        <f t="shared" si="0"/>
        <v>21</v>
      </c>
      <c r="I15" s="338">
        <f t="shared" si="0"/>
        <v>21</v>
      </c>
      <c r="J15" s="338">
        <f t="shared" si="0"/>
        <v>21</v>
      </c>
      <c r="K15" s="338">
        <f t="shared" si="0"/>
        <v>21</v>
      </c>
      <c r="L15" s="338">
        <f t="shared" si="0"/>
        <v>21</v>
      </c>
      <c r="M15" s="338">
        <f t="shared" si="0"/>
        <v>21</v>
      </c>
      <c r="N15" s="338">
        <f t="shared" si="0"/>
        <v>6</v>
      </c>
      <c r="O15" s="338">
        <f t="shared" si="0"/>
        <v>21</v>
      </c>
      <c r="P15" s="15"/>
      <c r="Q15" s="20"/>
      <c r="R15" s="20"/>
      <c r="S15" s="20"/>
      <c r="T15" s="20"/>
      <c r="U15" s="20"/>
      <c r="V15" s="23"/>
      <c r="W15" s="19"/>
      <c r="X15" s="19"/>
      <c r="Y15" s="19"/>
      <c r="Z15" s="19"/>
      <c r="AA15" s="19"/>
      <c r="AB15" s="19"/>
      <c r="AC15" s="31"/>
    </row>
    <row r="16" spans="1:29">
      <c r="A16" s="424" t="s">
        <v>843</v>
      </c>
      <c r="B16" s="338">
        <f>B15</f>
        <v>21</v>
      </c>
      <c r="C16" s="338">
        <f t="shared" ref="C16:O16" si="1">C15</f>
        <v>16</v>
      </c>
      <c r="D16" s="338">
        <f t="shared" si="1"/>
        <v>21</v>
      </c>
      <c r="E16" s="338">
        <f t="shared" si="1"/>
        <v>21</v>
      </c>
      <c r="F16" s="338">
        <f t="shared" si="1"/>
        <v>21</v>
      </c>
      <c r="G16" s="338">
        <f t="shared" si="1"/>
        <v>21</v>
      </c>
      <c r="H16" s="338">
        <f t="shared" si="1"/>
        <v>21</v>
      </c>
      <c r="I16" s="338">
        <f t="shared" si="1"/>
        <v>21</v>
      </c>
      <c r="J16" s="338">
        <f t="shared" si="1"/>
        <v>21</v>
      </c>
      <c r="K16" s="338">
        <f t="shared" si="1"/>
        <v>21</v>
      </c>
      <c r="L16" s="338">
        <f t="shared" si="1"/>
        <v>21</v>
      </c>
      <c r="M16" s="338">
        <f t="shared" si="1"/>
        <v>21</v>
      </c>
      <c r="N16" s="338">
        <f t="shared" si="1"/>
        <v>6</v>
      </c>
      <c r="O16" s="338">
        <f t="shared" si="1"/>
        <v>21</v>
      </c>
      <c r="P16" s="15"/>
      <c r="Q16" s="20"/>
      <c r="R16" s="20"/>
      <c r="S16" s="20"/>
      <c r="T16" s="20"/>
      <c r="U16" s="20"/>
      <c r="V16" s="23"/>
      <c r="W16" s="19"/>
      <c r="X16" s="19"/>
      <c r="Y16" s="19"/>
      <c r="Z16" s="19"/>
      <c r="AA16" s="19"/>
      <c r="AB16" s="19"/>
      <c r="AC16" s="31"/>
    </row>
    <row r="17" spans="1:29">
      <c r="A17" s="424" t="s">
        <v>639</v>
      </c>
      <c r="B17" s="338">
        <f>NETWORKDAYS(EOMONTH($A$6,-1)+1,EOMONTH($A$6,0))</f>
        <v>21</v>
      </c>
      <c r="C17" s="338">
        <f t="shared" ref="C17:O17" si="2">NETWORKDAYS(EOMONTH($A$6,-1)+1,EOMONTH($A$6,0))</f>
        <v>21</v>
      </c>
      <c r="D17" s="338">
        <f t="shared" si="2"/>
        <v>21</v>
      </c>
      <c r="E17" s="338">
        <f t="shared" si="2"/>
        <v>21</v>
      </c>
      <c r="F17" s="338">
        <f t="shared" si="2"/>
        <v>21</v>
      </c>
      <c r="G17" s="338">
        <f t="shared" si="2"/>
        <v>21</v>
      </c>
      <c r="H17" s="338">
        <f t="shared" si="2"/>
        <v>21</v>
      </c>
      <c r="I17" s="338">
        <f t="shared" si="2"/>
        <v>21</v>
      </c>
      <c r="J17" s="338">
        <f t="shared" si="2"/>
        <v>21</v>
      </c>
      <c r="K17" s="338">
        <f t="shared" si="2"/>
        <v>21</v>
      </c>
      <c r="L17" s="338">
        <f t="shared" si="2"/>
        <v>21</v>
      </c>
      <c r="M17" s="338">
        <f t="shared" si="2"/>
        <v>21</v>
      </c>
      <c r="N17" s="338">
        <f t="shared" si="2"/>
        <v>21</v>
      </c>
      <c r="O17" s="395">
        <f t="shared" si="2"/>
        <v>21</v>
      </c>
      <c r="P17" s="15"/>
      <c r="Q17" s="20"/>
      <c r="R17" s="20"/>
      <c r="S17" s="20"/>
      <c r="T17" s="20"/>
      <c r="U17" s="20"/>
      <c r="V17" s="23"/>
      <c r="W17" s="19"/>
      <c r="X17" s="19"/>
      <c r="Y17" s="19"/>
      <c r="Z17" s="19"/>
      <c r="AA17" s="19"/>
      <c r="AB17" s="19"/>
      <c r="AC17" s="31"/>
    </row>
    <row r="18" spans="1:29">
      <c r="A18" s="424" t="s">
        <v>513</v>
      </c>
      <c r="B18" s="335">
        <f>IF(B11&lt;&gt;0,_xlfn.DAYS(B11,B10)+1,_xlfn.DAYS($A$6,B10)+1)</f>
        <v>30</v>
      </c>
      <c r="C18" s="335">
        <f t="shared" ref="C18:O18" si="3">IF(C11&lt;&gt;0,_xlfn.DAYS(C11,C10)+1,_xlfn.DAYS($A$6,C10)+1)</f>
        <v>23</v>
      </c>
      <c r="D18" s="335">
        <f t="shared" si="3"/>
        <v>30</v>
      </c>
      <c r="E18" s="335">
        <f t="shared" si="3"/>
        <v>30</v>
      </c>
      <c r="F18" s="335">
        <f t="shared" si="3"/>
        <v>30</v>
      </c>
      <c r="G18" s="335">
        <f t="shared" si="3"/>
        <v>30</v>
      </c>
      <c r="H18" s="335">
        <f t="shared" si="3"/>
        <v>30</v>
      </c>
      <c r="I18" s="335">
        <f t="shared" si="3"/>
        <v>30</v>
      </c>
      <c r="J18" s="335">
        <f t="shared" si="3"/>
        <v>30</v>
      </c>
      <c r="K18" s="335">
        <f t="shared" si="3"/>
        <v>30</v>
      </c>
      <c r="L18" s="335">
        <f t="shared" si="3"/>
        <v>30</v>
      </c>
      <c r="M18" s="335">
        <f t="shared" si="3"/>
        <v>30</v>
      </c>
      <c r="N18" s="335">
        <f t="shared" si="3"/>
        <v>8</v>
      </c>
      <c r="O18" s="335">
        <f t="shared" si="3"/>
        <v>30</v>
      </c>
      <c r="P18" s="15"/>
      <c r="Q18" s="20"/>
      <c r="R18" s="20"/>
      <c r="S18" s="20"/>
      <c r="T18" s="20"/>
      <c r="U18" s="20"/>
      <c r="V18" s="23"/>
      <c r="W18" s="19"/>
      <c r="X18" s="19"/>
      <c r="Y18" s="19"/>
      <c r="Z18" s="19"/>
      <c r="AA18" s="19"/>
      <c r="AB18" s="19"/>
      <c r="AC18" s="31"/>
    </row>
    <row r="19" spans="1:29">
      <c r="A19" s="99" t="s">
        <v>533</v>
      </c>
      <c r="B19" s="336">
        <f>DATEDIF('New Hire'!C41,$A$6,"Y")</f>
        <v>10</v>
      </c>
      <c r="C19" s="337">
        <f>DATEDIF('New Hire'!D41,$A$6,"Y")</f>
        <v>13</v>
      </c>
      <c r="D19" s="337">
        <f>DATEDIF('New Hire'!E41,$A$6,"Y")</f>
        <v>0</v>
      </c>
      <c r="E19" s="337">
        <f>DATEDIF('New Hire'!F41,$A$6,"Y")</f>
        <v>4</v>
      </c>
      <c r="F19" s="337">
        <f>DATEDIF('New Hire'!G41,$A$6,"Y")</f>
        <v>10</v>
      </c>
      <c r="G19" s="337">
        <f>DATEDIF('New Hire'!H41,$A$6,"Y")</f>
        <v>0</v>
      </c>
      <c r="H19" s="337">
        <f>DATEDIF('New Hire'!I41,$A$6,"Y")</f>
        <v>15</v>
      </c>
      <c r="I19" s="337">
        <f>DATEDIF('New Hire'!J41,$A$6,"Y")</f>
        <v>0</v>
      </c>
      <c r="J19" s="337">
        <f>DATEDIF('New Hire'!K41,$A$6,"Y")</f>
        <v>0</v>
      </c>
      <c r="K19" s="337">
        <f>DATEDIF('New Hire'!L41,$A$6,"Y")</f>
        <v>10</v>
      </c>
      <c r="L19" s="337">
        <f>DATEDIF('New Hire'!M41,$A$6,"Y")</f>
        <v>5</v>
      </c>
      <c r="M19" s="337">
        <f>DATEDIF('New Hire'!N41,$A$6,"Y")</f>
        <v>0</v>
      </c>
      <c r="N19" s="337">
        <f>DATEDIF('New Hire'!O41,$A$6,"Y")</f>
        <v>11</v>
      </c>
      <c r="O19" s="393">
        <f>DATEDIF('New Hire'!P41,$A$6,"Y")</f>
        <v>0</v>
      </c>
      <c r="P19" s="15"/>
      <c r="Q19" s="20"/>
      <c r="R19" s="20"/>
      <c r="S19" s="20"/>
      <c r="T19" s="20"/>
      <c r="U19" s="20"/>
      <c r="V19" s="23"/>
      <c r="W19" s="19"/>
      <c r="X19" s="19"/>
      <c r="Y19" s="19"/>
      <c r="Z19" s="19"/>
      <c r="AA19" s="19"/>
      <c r="AB19" s="19"/>
      <c r="AC19" s="31"/>
    </row>
    <row r="20" spans="1:29">
      <c r="A20" s="99" t="s">
        <v>566</v>
      </c>
      <c r="B20" s="336" t="str">
        <f>'New Hire'!C54</f>
        <v>A</v>
      </c>
      <c r="C20" s="337" t="str">
        <f>'New Hire'!D54</f>
        <v>A</v>
      </c>
      <c r="D20" s="337" t="str">
        <f>'New Hire'!E54</f>
        <v>A</v>
      </c>
      <c r="E20" s="337" t="str">
        <f>'New Hire'!F54</f>
        <v>B</v>
      </c>
      <c r="F20" s="337" t="str">
        <f>'New Hire'!G54</f>
        <v>B</v>
      </c>
      <c r="G20" s="337" t="str">
        <f>'New Hire'!H54</f>
        <v>C</v>
      </c>
      <c r="H20" s="337" t="str">
        <f>'New Hire'!I54</f>
        <v>D</v>
      </c>
      <c r="I20" s="337" t="str">
        <f>'New Hire'!J54</f>
        <v>D</v>
      </c>
      <c r="J20" s="337" t="str">
        <f>'New Hire'!K54</f>
        <v>A</v>
      </c>
      <c r="K20" s="337" t="str">
        <f>'New Hire'!L54</f>
        <v>A</v>
      </c>
      <c r="L20" s="337" t="str">
        <f>'New Hire'!M54</f>
        <v>A</v>
      </c>
      <c r="M20" s="337" t="str">
        <f>'New Hire'!N54</f>
        <v>A</v>
      </c>
      <c r="N20" s="337" t="str">
        <f>'New Hire'!O54</f>
        <v>A</v>
      </c>
      <c r="O20" s="393" t="str">
        <f>'New Hire'!P54</f>
        <v>B</v>
      </c>
      <c r="P20" s="15"/>
      <c r="Q20" s="20"/>
      <c r="R20" s="20"/>
      <c r="S20" s="20"/>
      <c r="T20" s="20"/>
      <c r="U20" s="20"/>
      <c r="V20" s="23"/>
      <c r="W20" s="19"/>
      <c r="X20" s="19"/>
      <c r="Y20" s="19"/>
      <c r="Z20" s="19"/>
      <c r="AA20" s="19"/>
      <c r="AB20" s="19"/>
      <c r="AC20" s="31"/>
    </row>
    <row r="21" spans="1:29">
      <c r="A21" s="98" t="s">
        <v>107</v>
      </c>
      <c r="B21" s="91">
        <v>1</v>
      </c>
      <c r="C21" s="89">
        <v>2</v>
      </c>
      <c r="D21" s="89">
        <v>0</v>
      </c>
      <c r="E21" s="89">
        <v>3</v>
      </c>
      <c r="F21" s="89">
        <v>0</v>
      </c>
      <c r="G21" s="89">
        <v>0</v>
      </c>
      <c r="H21" s="89">
        <v>2</v>
      </c>
      <c r="I21" s="89">
        <v>0</v>
      </c>
      <c r="J21" s="89">
        <v>0</v>
      </c>
      <c r="K21" s="89">
        <v>0</v>
      </c>
      <c r="L21" s="89">
        <v>0</v>
      </c>
      <c r="M21" s="89">
        <v>0</v>
      </c>
      <c r="N21" s="89">
        <v>0</v>
      </c>
      <c r="O21" s="398">
        <v>0</v>
      </c>
      <c r="P21" s="15"/>
      <c r="Q21" s="20"/>
      <c r="R21" s="20"/>
      <c r="S21" s="20"/>
      <c r="T21" s="20"/>
      <c r="U21" s="20"/>
      <c r="V21" s="23"/>
      <c r="W21" s="19"/>
      <c r="X21" s="19"/>
      <c r="Y21" s="19"/>
      <c r="Z21" s="19"/>
      <c r="AA21" s="19"/>
      <c r="AB21" s="19"/>
      <c r="AC21" s="31"/>
    </row>
    <row r="22" spans="1:29" ht="15.6">
      <c r="A22" s="97" t="s">
        <v>113</v>
      </c>
      <c r="B22" s="325">
        <f>3600000*B21</f>
        <v>3600000</v>
      </c>
      <c r="C22" s="90">
        <f t="shared" ref="C22:O22" si="4">3600000*C21</f>
        <v>7200000</v>
      </c>
      <c r="D22" s="90">
        <f t="shared" si="4"/>
        <v>0</v>
      </c>
      <c r="E22" s="90">
        <f t="shared" si="4"/>
        <v>10800000</v>
      </c>
      <c r="F22" s="90">
        <f t="shared" si="4"/>
        <v>0</v>
      </c>
      <c r="G22" s="90">
        <f t="shared" si="4"/>
        <v>0</v>
      </c>
      <c r="H22" s="90">
        <f t="shared" si="4"/>
        <v>7200000</v>
      </c>
      <c r="I22" s="90">
        <f t="shared" si="4"/>
        <v>0</v>
      </c>
      <c r="J22" s="90">
        <f t="shared" si="4"/>
        <v>0</v>
      </c>
      <c r="K22" s="90">
        <f t="shared" si="4"/>
        <v>0</v>
      </c>
      <c r="L22" s="90">
        <f t="shared" si="4"/>
        <v>0</v>
      </c>
      <c r="M22" s="90">
        <f t="shared" si="4"/>
        <v>0</v>
      </c>
      <c r="N22" s="90">
        <f t="shared" si="4"/>
        <v>0</v>
      </c>
      <c r="O22" s="399">
        <f t="shared" si="4"/>
        <v>0</v>
      </c>
      <c r="P22" s="15"/>
      <c r="Q22" s="20"/>
      <c r="R22" s="20"/>
      <c r="S22" s="20"/>
      <c r="T22" s="20"/>
      <c r="U22" s="20"/>
      <c r="V22" s="40"/>
      <c r="W22" s="41"/>
      <c r="X22" s="19"/>
      <c r="Y22" s="19"/>
      <c r="Z22" s="19"/>
      <c r="AA22" s="19"/>
      <c r="AB22" s="16"/>
      <c r="AC22" s="17"/>
    </row>
    <row r="23" spans="1:29">
      <c r="A23" s="97" t="s">
        <v>114</v>
      </c>
      <c r="B23" s="326">
        <v>9000000</v>
      </c>
      <c r="C23" s="90">
        <v>9000000</v>
      </c>
      <c r="D23" s="90">
        <v>9000000</v>
      </c>
      <c r="E23" s="90">
        <v>9000000</v>
      </c>
      <c r="F23" s="90">
        <v>9000000</v>
      </c>
      <c r="G23" s="90">
        <v>9000000</v>
      </c>
      <c r="H23" s="90">
        <v>9000000</v>
      </c>
      <c r="I23" s="90">
        <v>9000000</v>
      </c>
      <c r="J23" s="90">
        <v>9000000</v>
      </c>
      <c r="K23" s="90">
        <v>9000000</v>
      </c>
      <c r="L23" s="90">
        <v>9000000</v>
      </c>
      <c r="M23" s="90">
        <v>9000000</v>
      </c>
      <c r="N23" s="90">
        <v>9000000</v>
      </c>
      <c r="O23" s="399">
        <v>9000000</v>
      </c>
      <c r="P23" s="15"/>
      <c r="Q23" s="66"/>
      <c r="R23" s="66"/>
      <c r="S23" s="66"/>
      <c r="T23" s="66"/>
      <c r="U23" s="66"/>
      <c r="V23" s="50"/>
      <c r="W23" s="44"/>
      <c r="X23" s="44"/>
      <c r="Y23" s="44"/>
      <c r="Z23" s="44"/>
      <c r="AA23" s="44"/>
      <c r="AB23" s="44"/>
      <c r="AC23" s="51"/>
    </row>
    <row r="24" spans="1:29" ht="15.6">
      <c r="A24" s="413" t="s">
        <v>53</v>
      </c>
      <c r="B24" s="64"/>
      <c r="C24" s="65"/>
      <c r="D24" s="65"/>
      <c r="E24" s="66"/>
      <c r="F24" s="65"/>
      <c r="G24" s="65"/>
      <c r="H24" s="21"/>
      <c r="I24" s="65"/>
      <c r="J24" s="65"/>
      <c r="K24" s="66"/>
      <c r="L24" s="66"/>
      <c r="M24" s="66"/>
      <c r="N24" s="66"/>
      <c r="O24" s="66"/>
      <c r="P24" s="343"/>
      <c r="Q24" s="66"/>
      <c r="R24" s="66"/>
      <c r="S24" s="66"/>
      <c r="T24" s="66"/>
      <c r="U24" s="66"/>
      <c r="V24" s="118" t="s">
        <v>57</v>
      </c>
      <c r="W24" s="119" t="s">
        <v>67</v>
      </c>
      <c r="X24" s="119" t="s">
        <v>69</v>
      </c>
      <c r="Y24" s="119" t="s">
        <v>70</v>
      </c>
      <c r="Z24" s="119" t="s">
        <v>56</v>
      </c>
      <c r="AA24" s="119" t="s">
        <v>54</v>
      </c>
      <c r="AB24" s="119" t="s">
        <v>58</v>
      </c>
      <c r="AC24" s="120" t="s">
        <v>59</v>
      </c>
    </row>
    <row r="25" spans="1:29">
      <c r="A25" s="414" t="s">
        <v>55</v>
      </c>
      <c r="B25" s="64"/>
      <c r="C25" s="65"/>
      <c r="D25" s="65"/>
      <c r="E25" s="66"/>
      <c r="F25" s="65"/>
      <c r="G25" s="65"/>
      <c r="H25" s="21"/>
      <c r="I25" s="65"/>
      <c r="J25" s="65"/>
      <c r="K25" s="66"/>
      <c r="L25" s="66"/>
      <c r="M25" s="66"/>
      <c r="N25" s="66"/>
      <c r="O25" s="382"/>
      <c r="P25" s="382"/>
      <c r="Q25" s="66"/>
      <c r="R25" s="66"/>
      <c r="S25" s="66"/>
      <c r="T25" s="66"/>
      <c r="U25" s="66"/>
      <c r="V25" s="356" t="s">
        <v>2</v>
      </c>
      <c r="W25" s="357">
        <v>91999901</v>
      </c>
      <c r="X25" s="358" t="s">
        <v>507</v>
      </c>
      <c r="Y25" s="358" t="s">
        <v>508</v>
      </c>
      <c r="Z25" s="359" t="s">
        <v>509</v>
      </c>
      <c r="AA25" s="360">
        <v>8000000</v>
      </c>
      <c r="AB25" s="358"/>
      <c r="AC25" s="361"/>
    </row>
    <row r="26" spans="1:29">
      <c r="A26" s="445" t="s">
        <v>479</v>
      </c>
      <c r="B26" s="332">
        <f t="shared" ref="B26:O26" si="5">IF(OR(B20="A",B20="B"),IF(B12&lt;&gt;"C",ROUND(B130*B87,0),0),IF(B12&lt;&gt;"C",ROUND(B143*$B$4,0),0))</f>
        <v>7000000</v>
      </c>
      <c r="C26" s="332">
        <f t="shared" si="5"/>
        <v>4723810</v>
      </c>
      <c r="D26" s="332">
        <f t="shared" si="5"/>
        <v>11000000</v>
      </c>
      <c r="E26" s="332">
        <f t="shared" si="5"/>
        <v>11000000</v>
      </c>
      <c r="F26" s="332">
        <f t="shared" si="5"/>
        <v>16000000</v>
      </c>
      <c r="G26" s="332">
        <f t="shared" si="5"/>
        <v>0</v>
      </c>
      <c r="H26" s="332">
        <f t="shared" si="5"/>
        <v>120666000</v>
      </c>
      <c r="I26" s="332">
        <f t="shared" si="5"/>
        <v>90499500</v>
      </c>
      <c r="J26" s="332">
        <f t="shared" si="5"/>
        <v>55000000</v>
      </c>
      <c r="K26" s="332">
        <f t="shared" si="5"/>
        <v>10000000</v>
      </c>
      <c r="L26" s="332">
        <f t="shared" si="5"/>
        <v>11500000</v>
      </c>
      <c r="M26" s="332">
        <f t="shared" si="5"/>
        <v>7000000</v>
      </c>
      <c r="N26" s="332">
        <f t="shared" si="5"/>
        <v>2285714</v>
      </c>
      <c r="O26" s="332">
        <f t="shared" si="5"/>
        <v>0</v>
      </c>
      <c r="P26" s="355">
        <f t="shared" ref="P26:P29" si="6">SUM(B26:O26)</f>
        <v>346675024</v>
      </c>
      <c r="Q26" s="90" t="s">
        <v>525</v>
      </c>
      <c r="R26" s="90" t="s">
        <v>525</v>
      </c>
      <c r="S26" s="90" t="s">
        <v>525</v>
      </c>
      <c r="T26" s="90" t="s">
        <v>525</v>
      </c>
      <c r="U26" s="90" t="s">
        <v>525</v>
      </c>
      <c r="V26" s="356" t="s">
        <v>2</v>
      </c>
      <c r="W26" s="357">
        <v>91999902</v>
      </c>
      <c r="X26" s="358" t="s">
        <v>507</v>
      </c>
      <c r="Y26" s="358" t="s">
        <v>508</v>
      </c>
      <c r="Z26" s="359" t="s">
        <v>509</v>
      </c>
      <c r="AA26" s="360">
        <v>8000000</v>
      </c>
      <c r="AB26" s="358"/>
      <c r="AC26" s="361"/>
    </row>
    <row r="27" spans="1:29">
      <c r="A27" s="451" t="s">
        <v>496</v>
      </c>
      <c r="B27" s="332">
        <f t="shared" ref="B27:O27" si="7">IF(OR(B20="A",B20="B"),ROUND(B132*B87,0),ROUND(B132*B87*$B$4,0))</f>
        <v>700000</v>
      </c>
      <c r="C27" s="332">
        <f t="shared" si="7"/>
        <v>472381</v>
      </c>
      <c r="D27" s="332">
        <f t="shared" si="7"/>
        <v>1100000</v>
      </c>
      <c r="E27" s="332">
        <f t="shared" si="7"/>
        <v>0</v>
      </c>
      <c r="F27" s="332">
        <f t="shared" si="7"/>
        <v>0</v>
      </c>
      <c r="G27" s="332">
        <f t="shared" si="7"/>
        <v>0</v>
      </c>
      <c r="H27" s="332">
        <f t="shared" si="7"/>
        <v>12762750</v>
      </c>
      <c r="I27" s="332">
        <f t="shared" si="7"/>
        <v>0</v>
      </c>
      <c r="J27" s="332">
        <f t="shared" si="7"/>
        <v>5500000</v>
      </c>
      <c r="K27" s="332">
        <f t="shared" si="7"/>
        <v>1000000</v>
      </c>
      <c r="L27" s="332">
        <f t="shared" si="7"/>
        <v>0</v>
      </c>
      <c r="M27" s="332">
        <f t="shared" si="7"/>
        <v>1400000</v>
      </c>
      <c r="N27" s="332">
        <f t="shared" si="7"/>
        <v>342857</v>
      </c>
      <c r="O27" s="400">
        <f t="shared" si="7"/>
        <v>0</v>
      </c>
      <c r="P27" s="355">
        <f t="shared" si="6"/>
        <v>23277988</v>
      </c>
      <c r="Q27" s="379" t="s">
        <v>525</v>
      </c>
      <c r="R27" s="379" t="s">
        <v>525</v>
      </c>
      <c r="S27" s="379" t="s">
        <v>525</v>
      </c>
      <c r="T27" s="379" t="s">
        <v>525</v>
      </c>
      <c r="U27" s="90" t="s">
        <v>525</v>
      </c>
      <c r="V27" s="356" t="s">
        <v>2</v>
      </c>
      <c r="W27" s="357">
        <v>91999904</v>
      </c>
      <c r="X27" s="358" t="s">
        <v>511</v>
      </c>
      <c r="Y27" s="358" t="s">
        <v>508</v>
      </c>
      <c r="Z27" s="359" t="s">
        <v>509</v>
      </c>
      <c r="AA27" s="360">
        <v>8000000</v>
      </c>
      <c r="AB27" s="358"/>
      <c r="AC27" s="361"/>
    </row>
    <row r="28" spans="1:29">
      <c r="A28" s="451" t="s">
        <v>569</v>
      </c>
      <c r="B28" s="332">
        <f t="shared" ref="B28:O28" si="8">IF(OR(B20="A",B20="B"),ROUND(B133*B87,0),ROUND(B133*B87*$B$4,0))</f>
        <v>1400000</v>
      </c>
      <c r="C28" s="332">
        <f t="shared" si="8"/>
        <v>944762</v>
      </c>
      <c r="D28" s="332">
        <f t="shared" si="8"/>
        <v>2350000</v>
      </c>
      <c r="E28" s="332">
        <f t="shared" si="8"/>
        <v>0</v>
      </c>
      <c r="F28" s="332">
        <f t="shared" si="8"/>
        <v>0</v>
      </c>
      <c r="G28" s="332">
        <f t="shared" si="8"/>
        <v>0</v>
      </c>
      <c r="H28" s="332">
        <f t="shared" si="8"/>
        <v>25525500</v>
      </c>
      <c r="I28" s="332">
        <f t="shared" si="8"/>
        <v>0</v>
      </c>
      <c r="J28" s="332">
        <f t="shared" si="8"/>
        <v>11000000</v>
      </c>
      <c r="K28" s="332">
        <f t="shared" si="8"/>
        <v>2000000</v>
      </c>
      <c r="L28" s="332">
        <f t="shared" si="8"/>
        <v>0</v>
      </c>
      <c r="M28" s="332">
        <f t="shared" si="8"/>
        <v>2100000</v>
      </c>
      <c r="N28" s="332">
        <f t="shared" si="8"/>
        <v>471429</v>
      </c>
      <c r="O28" s="400">
        <f t="shared" si="8"/>
        <v>0</v>
      </c>
      <c r="P28" s="355">
        <f t="shared" si="6"/>
        <v>45791691</v>
      </c>
      <c r="Q28" s="379" t="s">
        <v>525</v>
      </c>
      <c r="R28" s="379" t="s">
        <v>525</v>
      </c>
      <c r="S28" s="379" t="s">
        <v>525</v>
      </c>
      <c r="T28" s="379" t="s">
        <v>525</v>
      </c>
      <c r="U28" s="90" t="s">
        <v>525</v>
      </c>
      <c r="V28" s="356" t="s">
        <v>2</v>
      </c>
      <c r="W28" s="357">
        <v>91999905</v>
      </c>
      <c r="X28" s="358" t="s">
        <v>507</v>
      </c>
      <c r="Y28" s="358" t="s">
        <v>508</v>
      </c>
      <c r="Z28" s="359" t="s">
        <v>509</v>
      </c>
      <c r="AA28" s="360">
        <v>8000000</v>
      </c>
      <c r="AB28" s="358"/>
      <c r="AC28" s="361"/>
    </row>
    <row r="29" spans="1:29">
      <c r="A29" s="445" t="s">
        <v>427</v>
      </c>
      <c r="B29" s="332"/>
      <c r="C29" s="332"/>
      <c r="D29" s="332"/>
      <c r="E29" s="340"/>
      <c r="F29" s="332"/>
      <c r="G29" s="332">
        <f>ROUND(G131*B4,0)*AC62+ROUND(G131*B4,0)*AC63</f>
        <v>29006250</v>
      </c>
      <c r="H29" s="332"/>
      <c r="I29" s="332"/>
      <c r="J29" s="332"/>
      <c r="K29" s="340"/>
      <c r="L29" s="340"/>
      <c r="M29" s="340"/>
      <c r="N29" s="340"/>
      <c r="O29" s="401">
        <f>ROUND(O131*AC64,0)+ROUND(O131*AC65,0)</f>
        <v>4500000</v>
      </c>
      <c r="P29" s="355">
        <f t="shared" si="6"/>
        <v>33506250</v>
      </c>
      <c r="Q29" s="379" t="s">
        <v>525</v>
      </c>
      <c r="R29" s="379" t="s">
        <v>525</v>
      </c>
      <c r="S29" s="379"/>
      <c r="T29" s="379"/>
      <c r="U29" s="379"/>
      <c r="V29" s="356" t="s">
        <v>2</v>
      </c>
      <c r="W29" s="357">
        <v>91999906</v>
      </c>
      <c r="X29" s="358" t="s">
        <v>507</v>
      </c>
      <c r="Y29" s="358" t="s">
        <v>508</v>
      </c>
      <c r="Z29" s="359" t="s">
        <v>509</v>
      </c>
      <c r="AA29" s="360">
        <v>8000000</v>
      </c>
      <c r="AB29" s="358"/>
      <c r="AC29" s="361"/>
    </row>
    <row r="30" spans="1:29">
      <c r="A30" s="506" t="s">
        <v>710</v>
      </c>
      <c r="B30" s="510"/>
      <c r="C30" s="438"/>
      <c r="D30" s="438"/>
      <c r="E30" s="438"/>
      <c r="F30" s="438"/>
      <c r="G30" s="438"/>
      <c r="H30" s="438"/>
      <c r="I30" s="438"/>
      <c r="J30" s="438"/>
      <c r="K30" s="438"/>
      <c r="L30" s="438"/>
      <c r="M30" s="438">
        <f>M79+M80</f>
        <v>2423100</v>
      </c>
      <c r="N30" s="438"/>
      <c r="O30" s="511"/>
      <c r="P30" s="464">
        <f t="shared" ref="P30:P36" si="9">SUM(B30:O30)</f>
        <v>2423100</v>
      </c>
      <c r="Q30" s="446" t="s">
        <v>525</v>
      </c>
      <c r="R30" s="446" t="s">
        <v>525</v>
      </c>
      <c r="S30" s="435"/>
      <c r="T30" s="435"/>
      <c r="U30" s="435"/>
      <c r="V30" s="356" t="s">
        <v>2</v>
      </c>
      <c r="W30" s="357">
        <v>91999901</v>
      </c>
      <c r="X30" s="358" t="s">
        <v>507</v>
      </c>
      <c r="Y30" s="358" t="s">
        <v>508</v>
      </c>
      <c r="Z30" s="359" t="s">
        <v>537</v>
      </c>
      <c r="AA30" s="360">
        <v>7000000</v>
      </c>
      <c r="AB30" s="358"/>
      <c r="AC30" s="361"/>
    </row>
    <row r="31" spans="1:29">
      <c r="A31" s="585" t="s">
        <v>874</v>
      </c>
      <c r="B31" s="368"/>
      <c r="C31" s="368">
        <f>ROUND(ROUND(C124/8,2)*C84,0)</f>
        <v>2163180</v>
      </c>
      <c r="D31" s="368"/>
      <c r="E31" s="368"/>
      <c r="F31" s="368"/>
      <c r="G31" s="368"/>
      <c r="H31" s="368">
        <f>ROUND(ROUND(H124/8,2)*H84,0)</f>
        <v>35033749</v>
      </c>
      <c r="I31" s="368"/>
      <c r="J31" s="368"/>
      <c r="K31" s="368"/>
      <c r="L31" s="368"/>
      <c r="M31" s="368"/>
      <c r="N31" s="368">
        <f>ROUND(ROUND(N124/8,2)*N84,0)</f>
        <v>8563150</v>
      </c>
      <c r="O31" s="586"/>
      <c r="P31" s="542">
        <f t="shared" ref="P31:P33" si="10">SUM(B31:O31)</f>
        <v>45760079</v>
      </c>
      <c r="Q31" s="543" t="s">
        <v>525</v>
      </c>
      <c r="R31" s="543" t="s">
        <v>525</v>
      </c>
      <c r="S31" s="587"/>
      <c r="T31" s="587"/>
      <c r="U31" s="587"/>
      <c r="V31" s="356" t="s">
        <v>2</v>
      </c>
      <c r="W31" s="357">
        <v>91999902</v>
      </c>
      <c r="X31" s="358" t="s">
        <v>507</v>
      </c>
      <c r="Y31" s="358" t="s">
        <v>508</v>
      </c>
      <c r="Z31" s="359" t="s">
        <v>537</v>
      </c>
      <c r="AA31" s="360">
        <v>7000000</v>
      </c>
      <c r="AB31" s="358"/>
      <c r="AC31" s="361"/>
    </row>
    <row r="32" spans="1:29">
      <c r="A32" s="585" t="s">
        <v>875</v>
      </c>
      <c r="B32" s="368"/>
      <c r="C32" s="368">
        <f>ROUND(ROUND(C125/8,2)*C84,0)</f>
        <v>-732840</v>
      </c>
      <c r="D32" s="368"/>
      <c r="E32" s="368"/>
      <c r="F32" s="368"/>
      <c r="G32" s="368"/>
      <c r="H32" s="368">
        <v>0</v>
      </c>
      <c r="I32" s="368"/>
      <c r="J32" s="368"/>
      <c r="K32" s="368"/>
      <c r="L32" s="368"/>
      <c r="M32" s="368"/>
      <c r="N32" s="368">
        <v>0</v>
      </c>
      <c r="O32" s="586"/>
      <c r="P32" s="542">
        <f t="shared" si="10"/>
        <v>-732840</v>
      </c>
      <c r="Q32" s="543" t="s">
        <v>525</v>
      </c>
      <c r="R32" s="543" t="s">
        <v>525</v>
      </c>
      <c r="S32" s="587"/>
      <c r="T32" s="587"/>
      <c r="U32" s="587"/>
      <c r="V32" s="356" t="s">
        <v>2</v>
      </c>
      <c r="W32" s="357">
        <v>91999904</v>
      </c>
      <c r="X32" s="358" t="s">
        <v>511</v>
      </c>
      <c r="Y32" s="358" t="s">
        <v>508</v>
      </c>
      <c r="Z32" s="359" t="s">
        <v>537</v>
      </c>
      <c r="AA32" s="360">
        <v>7000000</v>
      </c>
      <c r="AB32" s="358"/>
      <c r="AC32" s="361"/>
    </row>
    <row r="33" spans="1:31">
      <c r="A33" s="585" t="s">
        <v>876</v>
      </c>
      <c r="B33" s="368"/>
      <c r="C33" s="368">
        <f>ROUND(C119*C84,0)</f>
        <v>4317060</v>
      </c>
      <c r="D33" s="368"/>
      <c r="E33" s="368"/>
      <c r="F33" s="368"/>
      <c r="G33" s="368"/>
      <c r="H33" s="368">
        <f>ROUND(H119*H84,0)</f>
        <v>0</v>
      </c>
      <c r="I33" s="368"/>
      <c r="J33" s="368"/>
      <c r="K33" s="368"/>
      <c r="L33" s="368"/>
      <c r="M33" s="368"/>
      <c r="N33" s="368">
        <f>ROUND(N119*N84,0)</f>
        <v>0</v>
      </c>
      <c r="O33" s="586"/>
      <c r="P33" s="542">
        <f t="shared" si="10"/>
        <v>4317060</v>
      </c>
      <c r="Q33" s="543" t="s">
        <v>525</v>
      </c>
      <c r="R33" s="543" t="s">
        <v>525</v>
      </c>
      <c r="S33" s="587"/>
      <c r="T33" s="587"/>
      <c r="U33" s="587"/>
      <c r="V33" s="356" t="s">
        <v>2</v>
      </c>
      <c r="W33" s="357">
        <v>91999905</v>
      </c>
      <c r="X33" s="358" t="s">
        <v>507</v>
      </c>
      <c r="Y33" s="358" t="s">
        <v>508</v>
      </c>
      <c r="Z33" s="359" t="s">
        <v>537</v>
      </c>
      <c r="AA33" s="360">
        <v>7000000</v>
      </c>
      <c r="AB33" s="358"/>
      <c r="AC33" s="361"/>
    </row>
    <row r="34" spans="1:31">
      <c r="A34" s="585" t="s">
        <v>869</v>
      </c>
      <c r="B34" s="368"/>
      <c r="C34" s="368"/>
      <c r="D34" s="368"/>
      <c r="E34" s="368"/>
      <c r="F34" s="368"/>
      <c r="G34" s="368"/>
      <c r="H34" s="368"/>
      <c r="I34" s="368"/>
      <c r="J34" s="368"/>
      <c r="K34" s="368"/>
      <c r="L34" s="368"/>
      <c r="M34" s="368"/>
      <c r="N34" s="368">
        <f>N36</f>
        <v>8137500</v>
      </c>
      <c r="O34" s="586"/>
      <c r="P34" s="542">
        <f t="shared" si="9"/>
        <v>8137500</v>
      </c>
      <c r="Q34" s="543" t="s">
        <v>525</v>
      </c>
      <c r="R34" s="543" t="s">
        <v>525</v>
      </c>
      <c r="S34" s="587"/>
      <c r="T34" s="587"/>
      <c r="U34" s="587"/>
      <c r="V34" s="356" t="s">
        <v>2</v>
      </c>
      <c r="W34" s="357">
        <v>91999906</v>
      </c>
      <c r="X34" s="358" t="s">
        <v>507</v>
      </c>
      <c r="Y34" s="358" t="s">
        <v>508</v>
      </c>
      <c r="Z34" s="359" t="s">
        <v>537</v>
      </c>
      <c r="AA34" s="360">
        <v>7000000</v>
      </c>
      <c r="AB34" s="358"/>
      <c r="AC34" s="361"/>
    </row>
    <row r="35" spans="1:31">
      <c r="A35" s="585" t="s">
        <v>870</v>
      </c>
      <c r="B35" s="368"/>
      <c r="C35" s="368">
        <f>C36</f>
        <v>14902500</v>
      </c>
      <c r="D35" s="368"/>
      <c r="E35" s="368"/>
      <c r="F35" s="368"/>
      <c r="G35" s="368"/>
      <c r="H35" s="368"/>
      <c r="I35" s="368"/>
      <c r="J35" s="368"/>
      <c r="K35" s="368"/>
      <c r="L35" s="368"/>
      <c r="M35" s="368"/>
      <c r="N35" s="368"/>
      <c r="O35" s="586"/>
      <c r="P35" s="542">
        <f t="shared" si="9"/>
        <v>14902500</v>
      </c>
      <c r="Q35" s="543" t="s">
        <v>525</v>
      </c>
      <c r="R35" s="543"/>
      <c r="S35" s="587"/>
      <c r="T35" s="587"/>
      <c r="U35" s="587"/>
      <c r="V35" s="356" t="s">
        <v>2</v>
      </c>
      <c r="W35" s="357">
        <v>91999907</v>
      </c>
      <c r="X35" s="358" t="s">
        <v>603</v>
      </c>
      <c r="Y35" s="358" t="s">
        <v>508</v>
      </c>
      <c r="Z35" s="359">
        <v>7065</v>
      </c>
      <c r="AA35" s="360">
        <v>100</v>
      </c>
      <c r="AB35" s="447" t="s">
        <v>542</v>
      </c>
      <c r="AC35" s="448"/>
    </row>
    <row r="36" spans="1:31">
      <c r="A36" s="585" t="s">
        <v>868</v>
      </c>
      <c r="B36" s="368"/>
      <c r="C36" s="368">
        <f>ROUND(C99*C67*50%,0)</f>
        <v>14902500</v>
      </c>
      <c r="D36" s="368"/>
      <c r="E36" s="368"/>
      <c r="F36" s="368"/>
      <c r="G36" s="368"/>
      <c r="H36" s="368">
        <f>ROUND(AA48*AB49*50%,0)</f>
        <v>175000000</v>
      </c>
      <c r="I36" s="368"/>
      <c r="J36" s="368"/>
      <c r="K36" s="368"/>
      <c r="L36" s="368"/>
      <c r="M36" s="368"/>
      <c r="N36" s="368">
        <f>ROUND(N98*N67*50%,0)</f>
        <v>8137500</v>
      </c>
      <c r="O36" s="586"/>
      <c r="P36" s="542">
        <f t="shared" si="9"/>
        <v>198040000</v>
      </c>
      <c r="Q36" s="543" t="s">
        <v>525</v>
      </c>
      <c r="R36" s="543"/>
      <c r="S36" s="587"/>
      <c r="T36" s="587"/>
      <c r="U36" s="587"/>
      <c r="V36" s="356" t="s">
        <v>2</v>
      </c>
      <c r="W36" s="357">
        <v>91999908</v>
      </c>
      <c r="X36" s="358" t="s">
        <v>507</v>
      </c>
      <c r="Y36" s="358" t="s">
        <v>508</v>
      </c>
      <c r="Z36" s="359">
        <v>7065</v>
      </c>
      <c r="AA36" s="360">
        <v>100</v>
      </c>
      <c r="AB36" s="447" t="s">
        <v>542</v>
      </c>
      <c r="AC36" s="448"/>
    </row>
    <row r="37" spans="1:31">
      <c r="A37" s="415"/>
      <c r="B37" s="452"/>
      <c r="C37" s="452"/>
      <c r="D37" s="452"/>
      <c r="E37" s="452"/>
      <c r="F37" s="452"/>
      <c r="G37" s="452"/>
      <c r="H37" s="452"/>
      <c r="I37" s="452"/>
      <c r="J37" s="452"/>
      <c r="K37" s="452"/>
      <c r="L37" s="452"/>
      <c r="M37" s="452"/>
      <c r="N37" s="452"/>
      <c r="O37" s="401"/>
      <c r="P37" s="542"/>
      <c r="Q37" s="543"/>
      <c r="R37" s="543"/>
      <c r="S37" s="543"/>
      <c r="T37" s="543"/>
      <c r="U37" s="543"/>
      <c r="V37" s="356" t="s">
        <v>2</v>
      </c>
      <c r="W37" s="357">
        <v>91999907</v>
      </c>
      <c r="X37" s="358" t="s">
        <v>603</v>
      </c>
      <c r="Y37" s="358" t="s">
        <v>508</v>
      </c>
      <c r="Z37" s="359">
        <v>7070</v>
      </c>
      <c r="AA37" s="360">
        <v>200</v>
      </c>
      <c r="AB37" s="447" t="s">
        <v>542</v>
      </c>
      <c r="AC37" s="448"/>
    </row>
    <row r="38" spans="1:31">
      <c r="A38" s="528" t="s">
        <v>572</v>
      </c>
      <c r="B38" s="332"/>
      <c r="C38" s="332"/>
      <c r="D38" s="332"/>
      <c r="E38" s="340"/>
      <c r="F38" s="332"/>
      <c r="G38" s="332"/>
      <c r="H38" s="332"/>
      <c r="I38" s="332"/>
      <c r="J38" s="332"/>
      <c r="K38" s="340"/>
      <c r="L38" s="340"/>
      <c r="M38" s="340"/>
      <c r="N38" s="340"/>
      <c r="O38" s="401"/>
      <c r="P38" s="355"/>
      <c r="Q38" s="543"/>
      <c r="R38" s="543"/>
      <c r="S38" s="543"/>
      <c r="T38" s="543"/>
      <c r="U38" s="543"/>
      <c r="V38" s="356" t="s">
        <v>2</v>
      </c>
      <c r="W38" s="357">
        <v>91999908</v>
      </c>
      <c r="X38" s="358" t="s">
        <v>507</v>
      </c>
      <c r="Y38" s="358" t="s">
        <v>508</v>
      </c>
      <c r="Z38" s="359">
        <v>7070</v>
      </c>
      <c r="AA38" s="360">
        <v>200</v>
      </c>
      <c r="AB38" s="447" t="s">
        <v>542</v>
      </c>
      <c r="AC38" s="448"/>
    </row>
    <row r="39" spans="1:31">
      <c r="A39" s="445" t="s">
        <v>512</v>
      </c>
      <c r="B39" s="332">
        <f t="shared" ref="B39:O39" si="11">IF(OR(B20="A",B20="B"),B90,ROUND(B90*B14%,0))</f>
        <v>657534</v>
      </c>
      <c r="C39" s="332">
        <f t="shared" si="11"/>
        <v>504110</v>
      </c>
      <c r="D39" s="332">
        <f t="shared" si="11"/>
        <v>0</v>
      </c>
      <c r="E39" s="332">
        <f t="shared" si="11"/>
        <v>657534</v>
      </c>
      <c r="F39" s="332">
        <f t="shared" si="11"/>
        <v>657534</v>
      </c>
      <c r="G39" s="332">
        <f t="shared" si="11"/>
        <v>0</v>
      </c>
      <c r="H39" s="332">
        <f t="shared" si="11"/>
        <v>327869</v>
      </c>
      <c r="I39" s="332">
        <f t="shared" si="11"/>
        <v>0</v>
      </c>
      <c r="J39" s="332">
        <f t="shared" si="11"/>
        <v>0</v>
      </c>
      <c r="K39" s="332">
        <f t="shared" si="11"/>
        <v>0</v>
      </c>
      <c r="L39" s="332">
        <f t="shared" si="11"/>
        <v>0</v>
      </c>
      <c r="M39" s="332">
        <f t="shared" si="11"/>
        <v>0</v>
      </c>
      <c r="N39" s="332">
        <f t="shared" si="11"/>
        <v>0</v>
      </c>
      <c r="O39" s="332">
        <f t="shared" si="11"/>
        <v>0</v>
      </c>
      <c r="P39" s="345">
        <f>SUM(B39:O39)</f>
        <v>2804581</v>
      </c>
      <c r="Q39" s="379"/>
      <c r="R39" s="543" t="s">
        <v>525</v>
      </c>
      <c r="S39" s="543"/>
      <c r="T39" s="543"/>
      <c r="U39" s="543"/>
      <c r="V39" s="356" t="s">
        <v>2</v>
      </c>
      <c r="W39" s="357">
        <v>91999901</v>
      </c>
      <c r="X39" s="358" t="s">
        <v>507</v>
      </c>
      <c r="Y39" s="358" t="s">
        <v>508</v>
      </c>
      <c r="Z39" s="359">
        <v>9140</v>
      </c>
      <c r="AA39" s="360"/>
      <c r="AB39" s="750">
        <v>7.5999999999999998E-2</v>
      </c>
      <c r="AC39" s="448"/>
    </row>
    <row r="40" spans="1:31">
      <c r="A40" s="445" t="s">
        <v>534</v>
      </c>
      <c r="B40" s="332">
        <f t="shared" ref="B40:O40" si="12">IF(OR(B20="A",B20="B"),ROUND(2369796/365*B18,0),ROUND(ROUND(2466.55*$B$4,0)/365*B18,0))*B21*IF(B19&lt;3,0,IF(B19&lt;6,50%,100%))</f>
        <v>194778</v>
      </c>
      <c r="C40" s="332">
        <f t="shared" si="12"/>
        <v>298660</v>
      </c>
      <c r="D40" s="332">
        <f t="shared" si="12"/>
        <v>0</v>
      </c>
      <c r="E40" s="332">
        <f t="shared" si="12"/>
        <v>292167</v>
      </c>
      <c r="F40" s="332">
        <f t="shared" si="12"/>
        <v>0</v>
      </c>
      <c r="G40" s="332">
        <f t="shared" si="12"/>
        <v>0</v>
      </c>
      <c r="H40" s="332">
        <f t="shared" si="12"/>
        <v>9408706</v>
      </c>
      <c r="I40" s="332">
        <f t="shared" si="12"/>
        <v>0</v>
      </c>
      <c r="J40" s="332">
        <f t="shared" si="12"/>
        <v>0</v>
      </c>
      <c r="K40" s="332">
        <f t="shared" si="12"/>
        <v>0</v>
      </c>
      <c r="L40" s="332">
        <f t="shared" si="12"/>
        <v>0</v>
      </c>
      <c r="M40" s="332">
        <f t="shared" si="12"/>
        <v>0</v>
      </c>
      <c r="N40" s="332">
        <f t="shared" si="12"/>
        <v>0</v>
      </c>
      <c r="O40" s="332">
        <f t="shared" si="12"/>
        <v>0</v>
      </c>
      <c r="P40" s="346">
        <f>SUM(B40:O40)</f>
        <v>10194311</v>
      </c>
      <c r="Q40" s="379"/>
      <c r="R40" s="543" t="s">
        <v>525</v>
      </c>
      <c r="S40" s="543"/>
      <c r="T40" s="543"/>
      <c r="U40" s="543"/>
      <c r="V40" s="356" t="s">
        <v>2</v>
      </c>
      <c r="W40" s="357">
        <v>91999907</v>
      </c>
      <c r="X40" s="358" t="s">
        <v>507</v>
      </c>
      <c r="Y40" s="358" t="s">
        <v>508</v>
      </c>
      <c r="Z40" s="359">
        <v>9140</v>
      </c>
      <c r="AA40" s="360"/>
      <c r="AB40" s="750">
        <v>0.56000000000000005</v>
      </c>
      <c r="AC40" s="448"/>
    </row>
    <row r="41" spans="1:31">
      <c r="A41" s="412"/>
      <c r="B41" s="331"/>
      <c r="C41" s="332"/>
      <c r="D41" s="332"/>
      <c r="E41" s="340"/>
      <c r="F41" s="368"/>
      <c r="G41" s="368"/>
      <c r="H41" s="368"/>
      <c r="I41" s="368"/>
      <c r="J41" s="368"/>
      <c r="K41" s="340"/>
      <c r="L41" s="340"/>
      <c r="M41" s="340"/>
      <c r="N41" s="340"/>
      <c r="O41" s="401"/>
      <c r="P41" s="355"/>
      <c r="Q41" s="379"/>
      <c r="R41" s="543"/>
      <c r="S41" s="543"/>
      <c r="T41" s="543"/>
      <c r="U41" s="543"/>
      <c r="V41" s="356" t="s">
        <v>773</v>
      </c>
      <c r="W41" s="357">
        <v>91999905</v>
      </c>
      <c r="X41" s="358" t="s">
        <v>507</v>
      </c>
      <c r="Y41" s="358" t="s">
        <v>508</v>
      </c>
      <c r="Z41" s="359" t="s">
        <v>649</v>
      </c>
      <c r="AA41" s="360"/>
      <c r="AB41" s="447">
        <v>1</v>
      </c>
      <c r="AC41" s="448"/>
    </row>
    <row r="42" spans="1:31">
      <c r="A42" s="450" t="s">
        <v>61</v>
      </c>
      <c r="B42" s="365">
        <f t="shared" ref="B42:O42" si="13">SUM(B26:B37)</f>
        <v>9100000</v>
      </c>
      <c r="C42" s="366">
        <f t="shared" si="13"/>
        <v>41693353</v>
      </c>
      <c r="D42" s="366">
        <f t="shared" si="13"/>
        <v>14450000</v>
      </c>
      <c r="E42" s="366">
        <f t="shared" si="13"/>
        <v>11000000</v>
      </c>
      <c r="F42" s="366">
        <f t="shared" si="13"/>
        <v>16000000</v>
      </c>
      <c r="G42" s="366">
        <f t="shared" si="13"/>
        <v>29006250</v>
      </c>
      <c r="H42" s="366">
        <f t="shared" si="13"/>
        <v>368987999</v>
      </c>
      <c r="I42" s="366">
        <f t="shared" si="13"/>
        <v>90499500</v>
      </c>
      <c r="J42" s="366">
        <f t="shared" si="13"/>
        <v>71500000</v>
      </c>
      <c r="K42" s="366">
        <f t="shared" si="13"/>
        <v>13000000</v>
      </c>
      <c r="L42" s="366">
        <f t="shared" si="13"/>
        <v>11500000</v>
      </c>
      <c r="M42" s="366">
        <f t="shared" si="13"/>
        <v>12923100</v>
      </c>
      <c r="N42" s="495">
        <f t="shared" si="13"/>
        <v>27938150</v>
      </c>
      <c r="O42" s="496">
        <f t="shared" si="13"/>
        <v>4500000</v>
      </c>
      <c r="P42" s="355">
        <f>SUM(B42:O42)</f>
        <v>722098352</v>
      </c>
      <c r="Q42" s="543"/>
      <c r="R42" s="379"/>
      <c r="S42" s="379"/>
      <c r="T42" s="379"/>
      <c r="U42" s="379"/>
      <c r="V42" s="42"/>
      <c r="W42" s="43"/>
      <c r="X42" s="13"/>
      <c r="Y42" s="13"/>
      <c r="Z42" s="61"/>
      <c r="AA42" s="362"/>
      <c r="AB42" s="13"/>
      <c r="AC42" s="18"/>
    </row>
    <row r="43" spans="1:31">
      <c r="A43" s="418"/>
      <c r="B43" s="331"/>
      <c r="C43" s="332"/>
      <c r="D43" s="332"/>
      <c r="E43" s="340"/>
      <c r="F43" s="332"/>
      <c r="G43" s="332"/>
      <c r="H43" s="332"/>
      <c r="I43" s="332"/>
      <c r="J43" s="332"/>
      <c r="K43" s="340"/>
      <c r="L43" s="340"/>
      <c r="M43" s="340"/>
      <c r="N43" s="340"/>
      <c r="O43" s="401"/>
      <c r="P43" s="355"/>
      <c r="Q43" s="379"/>
      <c r="R43" s="379"/>
      <c r="S43" s="379"/>
      <c r="T43" s="379"/>
      <c r="U43" s="379"/>
      <c r="V43" s="42"/>
      <c r="W43" s="43"/>
      <c r="X43" s="13"/>
      <c r="Y43" s="13"/>
      <c r="Z43" s="61"/>
      <c r="AA43" s="362"/>
      <c r="AB43" s="13"/>
      <c r="AC43" s="18"/>
    </row>
    <row r="44" spans="1:31" ht="15.6">
      <c r="A44" s="419" t="s">
        <v>60</v>
      </c>
      <c r="B44" s="369"/>
      <c r="C44" s="362"/>
      <c r="D44" s="362"/>
      <c r="E44" s="370"/>
      <c r="F44" s="362"/>
      <c r="G44" s="362"/>
      <c r="H44" s="362"/>
      <c r="I44" s="362"/>
      <c r="J44" s="362"/>
      <c r="K44" s="370"/>
      <c r="L44" s="370"/>
      <c r="M44" s="370"/>
      <c r="N44" s="370"/>
      <c r="O44" s="383"/>
      <c r="P44" s="355"/>
      <c r="Q44" s="379"/>
      <c r="R44" s="379"/>
      <c r="S44" s="379"/>
      <c r="T44" s="379"/>
      <c r="U44" s="379"/>
      <c r="V44" s="42"/>
      <c r="W44" s="43"/>
      <c r="X44" s="13"/>
      <c r="Y44" s="13"/>
      <c r="Z44" s="61"/>
      <c r="AA44" s="362"/>
      <c r="AB44" s="13"/>
      <c r="AC44" s="18"/>
    </row>
    <row r="45" spans="1:31">
      <c r="A45" s="414" t="s">
        <v>55</v>
      </c>
      <c r="B45" s="369"/>
      <c r="C45" s="362"/>
      <c r="D45" s="362"/>
      <c r="E45" s="370"/>
      <c r="F45" s="362"/>
      <c r="G45" s="362"/>
      <c r="H45" s="362"/>
      <c r="I45" s="362"/>
      <c r="J45" s="362"/>
      <c r="K45" s="370"/>
      <c r="L45" s="370"/>
      <c r="M45" s="370"/>
      <c r="N45" s="370"/>
      <c r="O45" s="383"/>
      <c r="P45" s="355"/>
      <c r="Q45" s="379"/>
      <c r="R45" s="379"/>
      <c r="S45" s="379"/>
      <c r="T45" s="379"/>
      <c r="U45" s="379"/>
      <c r="V45" s="24" t="s">
        <v>57</v>
      </c>
      <c r="W45" s="37" t="s">
        <v>67</v>
      </c>
      <c r="X45" s="37" t="s">
        <v>69</v>
      </c>
      <c r="Y45" s="37" t="s">
        <v>70</v>
      </c>
      <c r="Z45" s="62" t="s">
        <v>56</v>
      </c>
      <c r="AA45" s="363" t="s">
        <v>54</v>
      </c>
      <c r="AB45" s="37" t="s">
        <v>58</v>
      </c>
      <c r="AC45" s="38" t="s">
        <v>59</v>
      </c>
      <c r="AD45" s="293"/>
      <c r="AE45" s="293"/>
    </row>
    <row r="46" spans="1:31">
      <c r="A46" s="424" t="s">
        <v>576</v>
      </c>
      <c r="B46" s="332">
        <f>ROUND(MIN(B$97,29800000)*'New Hire'!C56,0)</f>
        <v>728000</v>
      </c>
      <c r="C46" s="332">
        <f>ROUND(MIN(C$97,29800000)*'New Hire'!D56,0)</f>
        <v>644800</v>
      </c>
      <c r="D46" s="332">
        <f>ROUND(MIN(D$97,29800000)*'New Hire'!E56,0)</f>
        <v>0</v>
      </c>
      <c r="E46" s="332">
        <f>ROUND(MIN(E$97,29800000)*'New Hire'!F56,0)</f>
        <v>880000</v>
      </c>
      <c r="F46" s="332">
        <f>ROUND(MIN(F$97,29800000)*'New Hire'!G56,0)</f>
        <v>0</v>
      </c>
      <c r="G46" s="332">
        <f>ROUND(MIN(G$97,29800000)*'New Hire'!H56,0)</f>
        <v>0</v>
      </c>
      <c r="H46" s="332">
        <f>ROUND(MIN(H$97,29800000)*'New Hire'!I56,0)</f>
        <v>0</v>
      </c>
      <c r="I46" s="332">
        <f>ROUND(MIN(I$97,29800000)*'New Hire'!J56,0)</f>
        <v>0</v>
      </c>
      <c r="J46" s="332">
        <f>ROUND(MIN(J$97,29800000)*'New Hire'!K56,0)</f>
        <v>2384000</v>
      </c>
      <c r="K46" s="332">
        <f>ROUND(MIN(K$97,29800000)*'New Hire'!L56,0)</f>
        <v>0</v>
      </c>
      <c r="L46" s="332">
        <f>ROUND(MIN(L$97,29800000)*'New Hire'!M56,0)</f>
        <v>920000</v>
      </c>
      <c r="M46" s="332">
        <f>ROUND(MIN(M$97,29800000)*'New Hire'!N56,0)</f>
        <v>0</v>
      </c>
      <c r="N46" s="332">
        <f>ROUND(MIN(N$97,29800000)*'New Hire'!O56,0)</f>
        <v>0</v>
      </c>
      <c r="O46" s="332">
        <f>ROUND(MIN(O$97,29800000)*'New Hire'!P56,0)</f>
        <v>0</v>
      </c>
      <c r="P46" s="355">
        <f t="shared" ref="P46:P53" si="14">SUM(B46:O46)</f>
        <v>5556800</v>
      </c>
      <c r="Q46" s="379"/>
      <c r="R46" s="379"/>
      <c r="S46" s="379"/>
      <c r="T46" s="379"/>
      <c r="U46" s="379"/>
      <c r="V46" s="523" t="s">
        <v>860</v>
      </c>
      <c r="W46" s="524">
        <v>91999902</v>
      </c>
      <c r="X46" s="525" t="s">
        <v>871</v>
      </c>
      <c r="Y46" s="525" t="s">
        <v>871</v>
      </c>
      <c r="Z46" s="569">
        <v>5080</v>
      </c>
      <c r="AA46" s="368"/>
      <c r="AB46" s="570">
        <v>1</v>
      </c>
      <c r="AC46" s="571"/>
      <c r="AD46" s="293"/>
      <c r="AE46" s="293"/>
    </row>
    <row r="47" spans="1:31">
      <c r="A47" s="445" t="s">
        <v>577</v>
      </c>
      <c r="B47" s="332">
        <f>ROUND(MIN(B$97,83600000)*'New Hire'!C59,0)</f>
        <v>91000</v>
      </c>
      <c r="C47" s="332">
        <f>ROUND(MIN(C$97,83600000)*'New Hire'!D59,0)</f>
        <v>80600</v>
      </c>
      <c r="D47" s="332">
        <f>ROUND(MIN(D$97,83600000)*'New Hire'!E59,0)</f>
        <v>144500</v>
      </c>
      <c r="E47" s="332">
        <f>ROUND(MIN(E$97,83600000)*'New Hire'!F59,0)</f>
        <v>110000</v>
      </c>
      <c r="F47" s="332">
        <f>ROUND(MIN(F$97,83600000)*'New Hire'!G59,0)</f>
        <v>0</v>
      </c>
      <c r="G47" s="332">
        <f>ROUND(MIN(G$97,83600000)*'New Hire'!H59,0)</f>
        <v>0</v>
      </c>
      <c r="H47" s="332">
        <f>ROUND(MIN(H$97,83600000)*'New Hire'!I59,0)</f>
        <v>0</v>
      </c>
      <c r="I47" s="332">
        <f>ROUND(MIN(I$97,83600000)*'New Hire'!J59,0)</f>
        <v>0</v>
      </c>
      <c r="J47" s="332">
        <f>ROUND(MIN(J$97,83600000)*'New Hire'!K59,0)</f>
        <v>715000</v>
      </c>
      <c r="K47" s="332">
        <f>ROUND(MIN(K$97,83600000)*'New Hire'!L59,0)</f>
        <v>0</v>
      </c>
      <c r="L47" s="332">
        <f>ROUND(MIN(L$97,83600000)*'New Hire'!M59,0)</f>
        <v>115000</v>
      </c>
      <c r="M47" s="332">
        <f>ROUND(MIN(M$97,83600000)*'New Hire'!N59,0)</f>
        <v>0</v>
      </c>
      <c r="N47" s="332">
        <f>ROUND(MIN(N$97,83600000)*'New Hire'!O59,0)</f>
        <v>0</v>
      </c>
      <c r="O47" s="332">
        <f>ROUND(MIN(O$97,83600000)*'New Hire'!P59,0)</f>
        <v>0</v>
      </c>
      <c r="P47" s="355">
        <f t="shared" si="14"/>
        <v>1256100</v>
      </c>
      <c r="Q47" s="379"/>
      <c r="R47" s="379"/>
      <c r="S47" s="379"/>
      <c r="T47" s="379"/>
      <c r="U47" s="379"/>
      <c r="V47" s="523" t="s">
        <v>860</v>
      </c>
      <c r="W47" s="524">
        <v>91999907</v>
      </c>
      <c r="X47" s="525" t="s">
        <v>871</v>
      </c>
      <c r="Y47" s="525" t="s">
        <v>871</v>
      </c>
      <c r="Z47" s="569">
        <v>5080</v>
      </c>
      <c r="AA47" s="368"/>
      <c r="AB47" s="570">
        <v>99</v>
      </c>
      <c r="AC47" s="571"/>
      <c r="AD47" s="293"/>
      <c r="AE47" s="293"/>
    </row>
    <row r="48" spans="1:31">
      <c r="A48" s="445" t="s">
        <v>578</v>
      </c>
      <c r="B48" s="332">
        <f>ROUND(MIN(B$97,29800000)*'New Hire'!C62,0)</f>
        <v>136500</v>
      </c>
      <c r="C48" s="332">
        <f>ROUND(MIN(C$97,29800000)*'New Hire'!D62,0)</f>
        <v>120900</v>
      </c>
      <c r="D48" s="332">
        <f>ROUND(MIN(D$97,29800000)*'New Hire'!E62,0)</f>
        <v>216750</v>
      </c>
      <c r="E48" s="332">
        <f>ROUND(MIN(E$97,29800000)*'New Hire'!F62,0)</f>
        <v>165000</v>
      </c>
      <c r="F48" s="332">
        <f>ROUND(MIN(F$97,29800000)*'New Hire'!G62,0)</f>
        <v>0</v>
      </c>
      <c r="G48" s="332">
        <f>ROUND(MIN(G$97,29800000)*'New Hire'!H62,0)</f>
        <v>0</v>
      </c>
      <c r="H48" s="332">
        <f>ROUND(MIN(H$97,29800000)*'New Hire'!I62,0)</f>
        <v>447000</v>
      </c>
      <c r="I48" s="332">
        <f>ROUND(MIN(I$97,29800000)*'New Hire'!J62,0)</f>
        <v>447000</v>
      </c>
      <c r="J48" s="332">
        <f>ROUND(MIN(J$97,29800000)*'New Hire'!K62,0)</f>
        <v>447000</v>
      </c>
      <c r="K48" s="332">
        <f>ROUND(MIN(K$97,29800000)*'New Hire'!L62,0)</f>
        <v>0</v>
      </c>
      <c r="L48" s="332">
        <f>ROUND(MIN(L$97,29800000)*'New Hire'!M62,0)</f>
        <v>172500</v>
      </c>
      <c r="M48" s="332">
        <f>ROUND(MIN(M$97,29800000)*'New Hire'!N62,0)</f>
        <v>0</v>
      </c>
      <c r="N48" s="332">
        <f>ROUND(MIN(N$97,29800000)*'New Hire'!O62,0)</f>
        <v>0</v>
      </c>
      <c r="O48" s="332">
        <f>ROUND(MIN(O$97,29800000)*'New Hire'!P62,0)</f>
        <v>0</v>
      </c>
      <c r="P48" s="355">
        <f t="shared" si="14"/>
        <v>2152650</v>
      </c>
      <c r="Q48" s="379"/>
      <c r="R48" s="379"/>
      <c r="S48" s="379"/>
      <c r="T48" s="379"/>
      <c r="U48" s="379"/>
      <c r="V48" s="523" t="s">
        <v>860</v>
      </c>
      <c r="W48" s="524">
        <v>91999907</v>
      </c>
      <c r="X48" s="525" t="s">
        <v>871</v>
      </c>
      <c r="Y48" s="525" t="s">
        <v>871</v>
      </c>
      <c r="Z48" s="569">
        <v>9032</v>
      </c>
      <c r="AA48" s="368">
        <v>100000000</v>
      </c>
      <c r="AB48" s="570"/>
      <c r="AC48" s="571"/>
      <c r="AD48" s="293"/>
      <c r="AE48" s="293"/>
    </row>
    <row r="49" spans="1:31">
      <c r="A49" s="412" t="s">
        <v>111</v>
      </c>
      <c r="B49" s="331">
        <f t="shared" ref="B49:O49" si="15">B104</f>
        <v>0</v>
      </c>
      <c r="C49" s="332">
        <f t="shared" si="15"/>
        <v>0</v>
      </c>
      <c r="D49" s="332">
        <f t="shared" si="15"/>
        <v>258875</v>
      </c>
      <c r="E49" s="332">
        <f t="shared" si="15"/>
        <v>1194970</v>
      </c>
      <c r="F49" s="332">
        <f t="shared" si="15"/>
        <v>1665753</v>
      </c>
      <c r="G49" s="332">
        <f t="shared" si="15"/>
        <v>2351250</v>
      </c>
      <c r="H49" s="332">
        <f t="shared" si="15"/>
        <v>40744915</v>
      </c>
      <c r="I49" s="332">
        <f t="shared" si="15"/>
        <v>18099900</v>
      </c>
      <c r="J49" s="332">
        <f t="shared" si="15"/>
        <v>11836200</v>
      </c>
      <c r="K49" s="332">
        <f t="shared" si="15"/>
        <v>200000</v>
      </c>
      <c r="L49" s="332">
        <f t="shared" si="15"/>
        <v>64625</v>
      </c>
      <c r="M49" s="332">
        <f t="shared" si="15"/>
        <v>135578</v>
      </c>
      <c r="N49" s="332">
        <f t="shared" si="15"/>
        <v>870098</v>
      </c>
      <c r="O49" s="400">
        <f t="shared" si="15"/>
        <v>450000</v>
      </c>
      <c r="P49" s="355">
        <f t="shared" si="14"/>
        <v>77872164</v>
      </c>
      <c r="Q49" s="379"/>
      <c r="R49" s="379"/>
      <c r="S49" s="379"/>
      <c r="T49" s="379"/>
      <c r="U49" s="379"/>
      <c r="V49" s="523" t="s">
        <v>681</v>
      </c>
      <c r="W49" s="524">
        <v>91999907</v>
      </c>
      <c r="X49" s="525" t="s">
        <v>871</v>
      </c>
      <c r="Y49" s="525" t="s">
        <v>871</v>
      </c>
      <c r="Z49" s="569">
        <v>9034</v>
      </c>
      <c r="AA49" s="368"/>
      <c r="AB49" s="570">
        <v>3.5</v>
      </c>
      <c r="AC49" s="571"/>
      <c r="AD49" s="293"/>
      <c r="AE49" s="293"/>
    </row>
    <row r="50" spans="1:31">
      <c r="A50" s="445" t="s">
        <v>514</v>
      </c>
      <c r="B50" s="332">
        <f t="shared" ref="B50:O50" si="16">B90-B39</f>
        <v>0</v>
      </c>
      <c r="C50" s="332">
        <f t="shared" si="16"/>
        <v>0</v>
      </c>
      <c r="D50" s="332">
        <f t="shared" si="16"/>
        <v>0</v>
      </c>
      <c r="E50" s="332">
        <f t="shared" si="16"/>
        <v>0</v>
      </c>
      <c r="F50" s="332">
        <f t="shared" si="16"/>
        <v>0</v>
      </c>
      <c r="G50" s="332">
        <f t="shared" si="16"/>
        <v>0</v>
      </c>
      <c r="H50" s="332">
        <f t="shared" si="16"/>
        <v>327869</v>
      </c>
      <c r="I50" s="332">
        <f t="shared" si="16"/>
        <v>0</v>
      </c>
      <c r="J50" s="332">
        <f t="shared" si="16"/>
        <v>0</v>
      </c>
      <c r="K50" s="332">
        <f t="shared" si="16"/>
        <v>0</v>
      </c>
      <c r="L50" s="332">
        <f t="shared" si="16"/>
        <v>0</v>
      </c>
      <c r="M50" s="332">
        <f t="shared" si="16"/>
        <v>0</v>
      </c>
      <c r="N50" s="332">
        <f t="shared" si="16"/>
        <v>0</v>
      </c>
      <c r="O50" s="332">
        <f t="shared" si="16"/>
        <v>0</v>
      </c>
      <c r="P50" s="355">
        <f t="shared" si="14"/>
        <v>327869</v>
      </c>
      <c r="Q50" s="379"/>
      <c r="R50" s="379"/>
      <c r="S50" s="379"/>
      <c r="T50" s="379"/>
      <c r="U50" s="379"/>
      <c r="V50" s="523" t="s">
        <v>681</v>
      </c>
      <c r="W50" s="524">
        <v>91999913</v>
      </c>
      <c r="X50" s="525" t="s">
        <v>871</v>
      </c>
      <c r="Y50" s="525" t="s">
        <v>871</v>
      </c>
      <c r="Z50" s="569">
        <v>5080</v>
      </c>
      <c r="AA50" s="368"/>
      <c r="AB50" s="570">
        <v>2</v>
      </c>
      <c r="AC50" s="571"/>
      <c r="AD50" s="293"/>
      <c r="AE50" s="293"/>
    </row>
    <row r="51" spans="1:31">
      <c r="A51" s="445" t="s">
        <v>535</v>
      </c>
      <c r="B51" s="332">
        <f>B40</f>
        <v>194778</v>
      </c>
      <c r="C51" s="332">
        <f t="shared" ref="C51:O51" si="17">C40</f>
        <v>298660</v>
      </c>
      <c r="D51" s="332">
        <f t="shared" si="17"/>
        <v>0</v>
      </c>
      <c r="E51" s="332">
        <f t="shared" si="17"/>
        <v>292167</v>
      </c>
      <c r="F51" s="332">
        <f t="shared" si="17"/>
        <v>0</v>
      </c>
      <c r="G51" s="332">
        <f t="shared" si="17"/>
        <v>0</v>
      </c>
      <c r="H51" s="332">
        <f t="shared" si="17"/>
        <v>9408706</v>
      </c>
      <c r="I51" s="332">
        <f t="shared" si="17"/>
        <v>0</v>
      </c>
      <c r="J51" s="332">
        <f t="shared" si="17"/>
        <v>0</v>
      </c>
      <c r="K51" s="332">
        <f t="shared" si="17"/>
        <v>0</v>
      </c>
      <c r="L51" s="332">
        <f t="shared" si="17"/>
        <v>0</v>
      </c>
      <c r="M51" s="332">
        <f t="shared" si="17"/>
        <v>0</v>
      </c>
      <c r="N51" s="332">
        <f t="shared" si="17"/>
        <v>0</v>
      </c>
      <c r="O51" s="332">
        <f t="shared" si="17"/>
        <v>0</v>
      </c>
      <c r="P51" s="346">
        <f t="shared" si="14"/>
        <v>10194311</v>
      </c>
      <c r="Q51" s="379"/>
      <c r="R51" s="379"/>
      <c r="S51" s="379"/>
      <c r="T51" s="379"/>
      <c r="U51" s="379"/>
      <c r="V51" s="523" t="s">
        <v>873</v>
      </c>
      <c r="W51" s="524">
        <v>91999902</v>
      </c>
      <c r="X51" s="525" t="s">
        <v>871</v>
      </c>
      <c r="Y51" s="525" t="s">
        <v>871</v>
      </c>
      <c r="Z51" s="569">
        <v>5050</v>
      </c>
      <c r="AA51" s="368"/>
      <c r="AB51" s="570"/>
      <c r="AC51" s="571"/>
      <c r="AE51" s="293"/>
    </row>
    <row r="52" spans="1:31">
      <c r="A52" s="445" t="s">
        <v>538</v>
      </c>
      <c r="B52" s="332">
        <f>B91</f>
        <v>575342</v>
      </c>
      <c r="C52" s="332">
        <f t="shared" ref="C52:O52" si="18">C91</f>
        <v>441096</v>
      </c>
      <c r="D52" s="332">
        <f t="shared" si="18"/>
        <v>0</v>
      </c>
      <c r="E52" s="332">
        <f t="shared" si="18"/>
        <v>575342</v>
      </c>
      <c r="F52" s="332">
        <f t="shared" si="18"/>
        <v>575342</v>
      </c>
      <c r="G52" s="332">
        <f t="shared" si="18"/>
        <v>0</v>
      </c>
      <c r="H52" s="332">
        <f t="shared" si="18"/>
        <v>575342</v>
      </c>
      <c r="I52" s="332">
        <f t="shared" si="18"/>
        <v>0</v>
      </c>
      <c r="J52" s="332">
        <f t="shared" si="18"/>
        <v>0</v>
      </c>
      <c r="K52" s="332">
        <f t="shared" si="18"/>
        <v>0</v>
      </c>
      <c r="L52" s="332">
        <f t="shared" si="18"/>
        <v>0</v>
      </c>
      <c r="M52" s="332">
        <f t="shared" si="18"/>
        <v>0</v>
      </c>
      <c r="N52" s="332">
        <f t="shared" si="18"/>
        <v>0</v>
      </c>
      <c r="O52" s="332">
        <f t="shared" si="18"/>
        <v>0</v>
      </c>
      <c r="P52" s="355">
        <f t="shared" si="14"/>
        <v>2742464</v>
      </c>
      <c r="Q52" s="379"/>
      <c r="R52" s="379"/>
      <c r="S52" s="347"/>
      <c r="T52" s="347"/>
      <c r="U52" s="347"/>
      <c r="V52" s="523" t="s">
        <v>873</v>
      </c>
      <c r="W52" s="524">
        <v>91999902</v>
      </c>
      <c r="X52" s="525" t="s">
        <v>871</v>
      </c>
      <c r="Y52" s="525" t="s">
        <v>871</v>
      </c>
      <c r="Z52" s="569">
        <v>5060</v>
      </c>
      <c r="AA52" s="368"/>
      <c r="AB52" s="570"/>
      <c r="AC52" s="571"/>
      <c r="AE52" s="293"/>
    </row>
    <row r="53" spans="1:31">
      <c r="A53" s="445" t="s">
        <v>539</v>
      </c>
      <c r="B53" s="332">
        <f>IF(OR(B20="A",B20="B"),0,ROUND(ROUND(297.1*$B$4,0)/365*B18,0))*B21</f>
        <v>0</v>
      </c>
      <c r="C53" s="332">
        <f t="shared" ref="C53:O53" si="19">IF(OR(C20="A",C20="B"),0,ROUND(ROUND(297.1*$B$4,0)/365*C18,0))*C21</f>
        <v>0</v>
      </c>
      <c r="D53" s="332">
        <f t="shared" si="19"/>
        <v>0</v>
      </c>
      <c r="E53" s="332">
        <f t="shared" si="19"/>
        <v>0</v>
      </c>
      <c r="F53" s="332">
        <f t="shared" si="19"/>
        <v>0</v>
      </c>
      <c r="G53" s="332">
        <f t="shared" si="19"/>
        <v>0</v>
      </c>
      <c r="H53" s="332">
        <f t="shared" si="19"/>
        <v>1133294</v>
      </c>
      <c r="I53" s="332">
        <f t="shared" si="19"/>
        <v>0</v>
      </c>
      <c r="J53" s="332">
        <f t="shared" si="19"/>
        <v>0</v>
      </c>
      <c r="K53" s="332">
        <f t="shared" si="19"/>
        <v>0</v>
      </c>
      <c r="L53" s="332">
        <f t="shared" si="19"/>
        <v>0</v>
      </c>
      <c r="M53" s="332">
        <f t="shared" si="19"/>
        <v>0</v>
      </c>
      <c r="N53" s="332">
        <f t="shared" si="19"/>
        <v>0</v>
      </c>
      <c r="O53" s="332">
        <f t="shared" si="19"/>
        <v>0</v>
      </c>
      <c r="P53" s="346">
        <f t="shared" si="14"/>
        <v>1133294</v>
      </c>
      <c r="R53" s="347"/>
      <c r="S53" s="347"/>
      <c r="T53" s="347"/>
      <c r="U53" s="347"/>
      <c r="V53" s="523" t="s">
        <v>873</v>
      </c>
      <c r="W53" s="524">
        <v>91999902</v>
      </c>
      <c r="X53" s="525" t="s">
        <v>871</v>
      </c>
      <c r="Y53" s="525" t="s">
        <v>871</v>
      </c>
      <c r="Z53" s="569">
        <v>5070</v>
      </c>
      <c r="AA53" s="368"/>
      <c r="AB53" s="570"/>
      <c r="AC53" s="571"/>
      <c r="AE53" s="293"/>
    </row>
    <row r="54" spans="1:31">
      <c r="A54" s="412"/>
      <c r="B54" s="371"/>
      <c r="C54" s="372"/>
      <c r="D54" s="372"/>
      <c r="E54" s="373"/>
      <c r="F54" s="372"/>
      <c r="G54" s="372"/>
      <c r="H54" s="372"/>
      <c r="I54" s="372"/>
      <c r="J54" s="372"/>
      <c r="K54" s="373"/>
      <c r="L54" s="373"/>
      <c r="M54" s="373"/>
      <c r="N54" s="373"/>
      <c r="O54" s="403"/>
      <c r="P54" s="355"/>
      <c r="Q54" s="379"/>
      <c r="R54" s="379"/>
      <c r="S54" s="379"/>
      <c r="T54" s="379"/>
      <c r="U54" s="379"/>
      <c r="V54" s="523" t="s">
        <v>873</v>
      </c>
      <c r="W54" s="524">
        <v>91999907</v>
      </c>
      <c r="X54" s="525" t="s">
        <v>871</v>
      </c>
      <c r="Y54" s="525" t="s">
        <v>871</v>
      </c>
      <c r="Z54" s="569">
        <v>5050</v>
      </c>
      <c r="AA54" s="368"/>
      <c r="AB54" s="570"/>
      <c r="AC54" s="571"/>
      <c r="AE54" s="293"/>
    </row>
    <row r="55" spans="1:31">
      <c r="A55" s="420" t="s">
        <v>4</v>
      </c>
      <c r="B55" s="365">
        <f t="shared" ref="B55:O55" si="20">SUM(B46:B54)</f>
        <v>1725620</v>
      </c>
      <c r="C55" s="366">
        <f t="shared" si="20"/>
        <v>1586056</v>
      </c>
      <c r="D55" s="366">
        <f t="shared" si="20"/>
        <v>620125</v>
      </c>
      <c r="E55" s="366">
        <f t="shared" si="20"/>
        <v>3217479</v>
      </c>
      <c r="F55" s="366">
        <f t="shared" si="20"/>
        <v>2241095</v>
      </c>
      <c r="G55" s="366">
        <f t="shared" si="20"/>
        <v>2351250</v>
      </c>
      <c r="H55" s="366">
        <f t="shared" si="20"/>
        <v>52637126</v>
      </c>
      <c r="I55" s="366">
        <f t="shared" si="20"/>
        <v>18546900</v>
      </c>
      <c r="J55" s="366">
        <f t="shared" si="20"/>
        <v>15382200</v>
      </c>
      <c r="K55" s="366">
        <f t="shared" si="20"/>
        <v>200000</v>
      </c>
      <c r="L55" s="366">
        <f t="shared" si="20"/>
        <v>1272125</v>
      </c>
      <c r="M55" s="366">
        <f t="shared" si="20"/>
        <v>135578</v>
      </c>
      <c r="N55" s="495">
        <f t="shared" si="20"/>
        <v>870098</v>
      </c>
      <c r="O55" s="496">
        <f t="shared" si="20"/>
        <v>450000</v>
      </c>
      <c r="P55" s="355">
        <f>SUM(B55:O55)</f>
        <v>101235652</v>
      </c>
      <c r="Q55" s="379"/>
      <c r="R55" s="379"/>
      <c r="S55" s="379"/>
      <c r="T55" s="379"/>
      <c r="U55" s="379"/>
      <c r="V55" s="523" t="s">
        <v>681</v>
      </c>
      <c r="W55" s="524">
        <v>91999907</v>
      </c>
      <c r="X55" s="525" t="s">
        <v>871</v>
      </c>
      <c r="Y55" s="525" t="s">
        <v>871</v>
      </c>
      <c r="Z55" s="569">
        <v>5060</v>
      </c>
      <c r="AA55" s="368"/>
      <c r="AB55" s="570"/>
      <c r="AC55" s="571"/>
      <c r="AE55" s="293"/>
    </row>
    <row r="56" spans="1:31">
      <c r="A56" s="421"/>
      <c r="B56" s="331"/>
      <c r="C56" s="332"/>
      <c r="D56" s="332"/>
      <c r="E56" s="340"/>
      <c r="F56" s="332"/>
      <c r="G56" s="332"/>
      <c r="H56" s="332"/>
      <c r="I56" s="332"/>
      <c r="J56" s="332"/>
      <c r="K56" s="340"/>
      <c r="L56" s="340"/>
      <c r="M56" s="340"/>
      <c r="N56" s="340"/>
      <c r="O56" s="401"/>
      <c r="P56" s="355"/>
      <c r="Q56" s="379"/>
      <c r="R56" s="379"/>
      <c r="S56" s="379"/>
      <c r="T56" s="379"/>
      <c r="U56" s="379"/>
      <c r="V56" s="523" t="s">
        <v>681</v>
      </c>
      <c r="W56" s="524">
        <v>91999913</v>
      </c>
      <c r="X56" s="525" t="s">
        <v>871</v>
      </c>
      <c r="Y56" s="525" t="s">
        <v>871</v>
      </c>
      <c r="Z56" s="569">
        <v>5050</v>
      </c>
      <c r="AA56" s="368"/>
      <c r="AB56" s="570"/>
      <c r="AC56" s="571"/>
      <c r="AE56" s="293"/>
    </row>
    <row r="57" spans="1:31" ht="14.4" thickBot="1">
      <c r="A57" s="417" t="s">
        <v>5</v>
      </c>
      <c r="B57" s="333">
        <f t="shared" ref="B57:O57" si="21">B42-B55</f>
        <v>7374380</v>
      </c>
      <c r="C57" s="334">
        <f t="shared" si="21"/>
        <v>40107297</v>
      </c>
      <c r="D57" s="334">
        <f t="shared" si="21"/>
        <v>13829875</v>
      </c>
      <c r="E57" s="334">
        <f t="shared" si="21"/>
        <v>7782521</v>
      </c>
      <c r="F57" s="334">
        <f t="shared" si="21"/>
        <v>13758905</v>
      </c>
      <c r="G57" s="334">
        <f t="shared" si="21"/>
        <v>26655000</v>
      </c>
      <c r="H57" s="334">
        <f t="shared" si="21"/>
        <v>316350873</v>
      </c>
      <c r="I57" s="334">
        <f t="shared" si="21"/>
        <v>71952600</v>
      </c>
      <c r="J57" s="334">
        <f t="shared" si="21"/>
        <v>56117800</v>
      </c>
      <c r="K57" s="334">
        <f t="shared" si="21"/>
        <v>12800000</v>
      </c>
      <c r="L57" s="334">
        <f t="shared" si="21"/>
        <v>10227875</v>
      </c>
      <c r="M57" s="334">
        <f t="shared" si="21"/>
        <v>12787522</v>
      </c>
      <c r="N57" s="334">
        <f t="shared" si="21"/>
        <v>27068052</v>
      </c>
      <c r="O57" s="404">
        <f t="shared" si="21"/>
        <v>4050000</v>
      </c>
      <c r="P57" s="355">
        <f>SUM(B57:O57)</f>
        <v>620862700</v>
      </c>
      <c r="Q57" s="379"/>
      <c r="R57" s="379"/>
      <c r="S57" s="379"/>
      <c r="T57" s="379"/>
      <c r="U57" s="379"/>
      <c r="V57" s="523" t="s">
        <v>681</v>
      </c>
      <c r="W57" s="524">
        <v>91999913</v>
      </c>
      <c r="X57" s="525" t="s">
        <v>871</v>
      </c>
      <c r="Y57" s="525" t="s">
        <v>871</v>
      </c>
      <c r="Z57" s="569">
        <v>5060</v>
      </c>
      <c r="AA57" s="368"/>
      <c r="AB57" s="570"/>
      <c r="AC57" s="571"/>
      <c r="AD57" s="293"/>
      <c r="AE57" s="293"/>
    </row>
    <row r="58" spans="1:31" ht="14.4" thickTop="1">
      <c r="A58" s="422"/>
      <c r="B58" s="331"/>
      <c r="C58" s="332"/>
      <c r="D58" s="332"/>
      <c r="E58" s="340"/>
      <c r="F58" s="332"/>
      <c r="G58" s="332"/>
      <c r="H58" s="332"/>
      <c r="I58" s="332"/>
      <c r="J58" s="332"/>
      <c r="K58" s="340"/>
      <c r="L58" s="340"/>
      <c r="M58" s="340"/>
      <c r="N58" s="340"/>
      <c r="O58" s="401"/>
      <c r="P58" s="355"/>
      <c r="Q58" s="347"/>
      <c r="R58" s="347"/>
      <c r="S58" s="347"/>
      <c r="T58" s="347"/>
      <c r="U58" s="347"/>
      <c r="V58" s="42"/>
      <c r="W58" s="43"/>
      <c r="X58" s="13"/>
      <c r="Y58" s="13"/>
      <c r="Z58" s="61"/>
      <c r="AA58" s="362"/>
      <c r="AB58" s="13"/>
      <c r="AC58" s="18"/>
      <c r="AD58" s="293"/>
      <c r="AE58" s="293"/>
    </row>
    <row r="59" spans="1:31" ht="15.6">
      <c r="A59" s="411" t="s">
        <v>62</v>
      </c>
      <c r="B59" s="374"/>
      <c r="C59" s="405"/>
      <c r="D59" s="405"/>
      <c r="E59" s="370"/>
      <c r="F59" s="405"/>
      <c r="G59" s="405"/>
      <c r="H59" s="406"/>
      <c r="I59" s="405"/>
      <c r="J59" s="405"/>
      <c r="K59" s="370"/>
      <c r="L59" s="370"/>
      <c r="M59" s="370"/>
      <c r="N59" s="370"/>
      <c r="O59" s="383"/>
      <c r="P59" s="383"/>
      <c r="Q59" s="379"/>
      <c r="R59" s="379"/>
      <c r="S59" s="379"/>
      <c r="T59" s="379"/>
      <c r="U59" s="379"/>
      <c r="V59" s="42"/>
      <c r="W59" s="43"/>
      <c r="X59" s="13"/>
      <c r="Y59" s="13"/>
      <c r="Z59" s="61"/>
      <c r="AA59" s="362"/>
      <c r="AB59" s="13"/>
      <c r="AC59" s="18"/>
      <c r="AD59" s="293"/>
      <c r="AE59" s="293"/>
    </row>
    <row r="60" spans="1:31">
      <c r="A60" s="424" t="s">
        <v>573</v>
      </c>
      <c r="B60" s="332">
        <f>ROUND(MIN(B$97,29800000)*'New Hire'!C57,0)</f>
        <v>1547000</v>
      </c>
      <c r="C60" s="332">
        <f>ROUND(MIN(C$97,29800000)*'New Hire'!D57,0)</f>
        <v>1410500</v>
      </c>
      <c r="D60" s="332">
        <f>ROUND(MIN(D$97,29800000)*'New Hire'!E57,0)</f>
        <v>72250</v>
      </c>
      <c r="E60" s="332">
        <f>ROUND(MIN(E$97,29800000)*'New Hire'!F57,0)</f>
        <v>1870000</v>
      </c>
      <c r="F60" s="332">
        <f>ROUND(MIN(F$97,29800000)*'New Hire'!G57,0)</f>
        <v>0</v>
      </c>
      <c r="G60" s="332">
        <f>ROUND(MIN(G$97,29800000)*'New Hire'!H57,0)</f>
        <v>0</v>
      </c>
      <c r="H60" s="332">
        <f>ROUND(MIN(H$97,29800000)*'New Hire'!I57,0)</f>
        <v>894000</v>
      </c>
      <c r="I60" s="332">
        <f>ROUND(MIN(I$97,29800000)*'New Hire'!J57,0)</f>
        <v>149000</v>
      </c>
      <c r="J60" s="332">
        <f>ROUND(MIN(J$97,29800000)*'New Hire'!K57,0)</f>
        <v>5066000</v>
      </c>
      <c r="K60" s="332">
        <f>ROUND(MIN(K$97,29800000)*'New Hire'!L57,0)</f>
        <v>0</v>
      </c>
      <c r="L60" s="332">
        <f>ROUND(MIN(L$97,29800000)*'New Hire'!M57,0)</f>
        <v>1955000</v>
      </c>
      <c r="M60" s="332">
        <f>ROUND(MIN(M$97,29800000)*'New Hire'!N57,0)</f>
        <v>0</v>
      </c>
      <c r="N60" s="332">
        <f>ROUND(MIN(N$97,29800000)*'New Hire'!O57,0)</f>
        <v>0</v>
      </c>
      <c r="O60" s="332">
        <f>ROUND(MIN(O$97,29800000)*'New Hire'!P57,0)</f>
        <v>0</v>
      </c>
      <c r="P60" s="346">
        <f>SUM(B60:O60)</f>
        <v>12963750</v>
      </c>
      <c r="Q60" s="379"/>
      <c r="R60" s="379"/>
      <c r="S60" s="379"/>
      <c r="T60" s="379"/>
      <c r="U60" s="379"/>
      <c r="V60" s="42"/>
      <c r="W60" s="43"/>
      <c r="X60" s="13"/>
      <c r="Y60" s="13"/>
      <c r="Z60" s="61"/>
      <c r="AA60" s="362"/>
      <c r="AB60" s="13"/>
      <c r="AC60" s="18"/>
      <c r="AD60" s="293"/>
      <c r="AE60" s="293"/>
    </row>
    <row r="61" spans="1:31">
      <c r="A61" s="445" t="s">
        <v>574</v>
      </c>
      <c r="B61" s="332">
        <f>ROUND(MIN(B$97,83600000)*'New Hire'!C60,0)</f>
        <v>91000</v>
      </c>
      <c r="C61" s="332">
        <f>ROUND(MIN(C$97,83600000)*'New Hire'!D60,0)</f>
        <v>80600</v>
      </c>
      <c r="D61" s="332">
        <f>ROUND(MIN(D$97,83600000)*'New Hire'!E60,0)</f>
        <v>144500</v>
      </c>
      <c r="E61" s="332">
        <f>ROUND(MIN(E$97,83600000)*'New Hire'!F60,0)</f>
        <v>110000</v>
      </c>
      <c r="F61" s="332">
        <f>ROUND(MIN(F$97,83600000)*'New Hire'!G60,0)</f>
        <v>0</v>
      </c>
      <c r="G61" s="332">
        <f>ROUND(MIN(G$97,83600000)*'New Hire'!H60,0)</f>
        <v>0</v>
      </c>
      <c r="H61" s="332">
        <f>ROUND(MIN(H$97,83600000)*'New Hire'!I60,0)</f>
        <v>0</v>
      </c>
      <c r="I61" s="332">
        <f>ROUND(MIN(I$97,83600000)*'New Hire'!J60,0)</f>
        <v>0</v>
      </c>
      <c r="J61" s="332">
        <f>ROUND(MIN(J$97,83600000)*'New Hire'!K60,0)</f>
        <v>715000</v>
      </c>
      <c r="K61" s="332">
        <f>ROUND(MIN(K$97,83600000)*'New Hire'!L60,0)</f>
        <v>0</v>
      </c>
      <c r="L61" s="332">
        <f>ROUND(MIN(L$97,83600000)*'New Hire'!M60,0)</f>
        <v>115000</v>
      </c>
      <c r="M61" s="332">
        <f>ROUND(MIN(M$97,83600000)*'New Hire'!N60,0)</f>
        <v>0</v>
      </c>
      <c r="N61" s="332">
        <f>ROUND(MIN(N$97,83600000)*'New Hire'!O60,0)</f>
        <v>0</v>
      </c>
      <c r="O61" s="332">
        <f>ROUND(MIN(O$97,83600000)*'New Hire'!P60,0)</f>
        <v>0</v>
      </c>
      <c r="P61" s="346">
        <f>SUM(B61:O61)</f>
        <v>1256100</v>
      </c>
      <c r="Q61" s="379"/>
      <c r="R61" s="379"/>
      <c r="S61" s="379"/>
      <c r="T61" s="379"/>
      <c r="U61" s="379"/>
      <c r="V61" s="24" t="s">
        <v>57</v>
      </c>
      <c r="W61" s="37" t="s">
        <v>67</v>
      </c>
      <c r="X61" s="37" t="s">
        <v>69</v>
      </c>
      <c r="Y61" s="37" t="s">
        <v>70</v>
      </c>
      <c r="Z61" s="62" t="s">
        <v>425</v>
      </c>
      <c r="AA61" s="363" t="s">
        <v>426</v>
      </c>
      <c r="AB61" s="37" t="s">
        <v>56</v>
      </c>
      <c r="AC61" s="38"/>
      <c r="AD61" s="293"/>
      <c r="AE61" s="293"/>
    </row>
    <row r="62" spans="1:31">
      <c r="A62" s="445" t="s">
        <v>575</v>
      </c>
      <c r="B62" s="332">
        <f>ROUND(MIN(B$97,29800000)*'New Hire'!C63,0)</f>
        <v>273000</v>
      </c>
      <c r="C62" s="332">
        <f>ROUND(MIN(C$97,29800000)*'New Hire'!D63,0)</f>
        <v>241800</v>
      </c>
      <c r="D62" s="332">
        <f>ROUND(MIN(D$97,29800000)*'New Hire'!E63,0)</f>
        <v>433500</v>
      </c>
      <c r="E62" s="332">
        <f>ROUND(MIN(E$97,29800000)*'New Hire'!F63,0)</f>
        <v>330000</v>
      </c>
      <c r="F62" s="332">
        <f>ROUND(MIN(F$97,29800000)*'New Hire'!G63,0)</f>
        <v>0</v>
      </c>
      <c r="G62" s="332">
        <f>ROUND(MIN(G$97,29800000)*'New Hire'!H63,0)</f>
        <v>0</v>
      </c>
      <c r="H62" s="332">
        <f>ROUND(MIN(H$97,29800000)*'New Hire'!I63,0)</f>
        <v>894000</v>
      </c>
      <c r="I62" s="332">
        <f>ROUND(MIN(I$97,29800000)*'New Hire'!J63,0)</f>
        <v>894000</v>
      </c>
      <c r="J62" s="332">
        <f>ROUND(MIN(J$97,29800000)*'New Hire'!K63,0)</f>
        <v>894000</v>
      </c>
      <c r="K62" s="332">
        <f>ROUND(MIN(K$97,29800000)*'New Hire'!L63,0)</f>
        <v>0</v>
      </c>
      <c r="L62" s="332">
        <f>ROUND(MIN(L$97,29800000)*'New Hire'!M63,0)</f>
        <v>345000</v>
      </c>
      <c r="M62" s="332">
        <f>ROUND(MIN(M$97,29800000)*'New Hire'!N63,0)</f>
        <v>0</v>
      </c>
      <c r="N62" s="332">
        <f>ROUND(MIN(N$97,29800000)*'New Hire'!O63,0)</f>
        <v>0</v>
      </c>
      <c r="O62" s="332">
        <f>ROUND(MIN(O$97,29800000)*'New Hire'!P63,0)</f>
        <v>0</v>
      </c>
      <c r="P62" s="346">
        <f>SUM(B62:O62)</f>
        <v>4305300</v>
      </c>
      <c r="Q62" s="379"/>
      <c r="R62" s="379"/>
      <c r="S62" s="379"/>
      <c r="T62" s="379"/>
      <c r="U62" s="379"/>
      <c r="V62" s="523" t="s">
        <v>424</v>
      </c>
      <c r="W62" s="524">
        <v>91999906</v>
      </c>
      <c r="X62" s="525" t="s">
        <v>880</v>
      </c>
      <c r="Y62" s="525" t="s">
        <v>880</v>
      </c>
      <c r="Z62" s="292">
        <v>0.375</v>
      </c>
      <c r="AA62" s="292">
        <v>0.47916666666666669</v>
      </c>
      <c r="AB62" s="290">
        <v>9180</v>
      </c>
      <c r="AC62" s="479">
        <v>2.5</v>
      </c>
    </row>
    <row r="63" spans="1:31">
      <c r="A63" s="445" t="s">
        <v>1131</v>
      </c>
      <c r="B63" s="332">
        <f t="shared" ref="B63:O63" si="22">ROUND(MIN(B97,29800000)*2%,0)</f>
        <v>182000</v>
      </c>
      <c r="C63" s="332">
        <f t="shared" si="22"/>
        <v>161200</v>
      </c>
      <c r="D63" s="332">
        <f t="shared" si="22"/>
        <v>289000</v>
      </c>
      <c r="E63" s="332">
        <f t="shared" si="22"/>
        <v>220000</v>
      </c>
      <c r="F63" s="332">
        <f t="shared" si="22"/>
        <v>320000</v>
      </c>
      <c r="G63" s="332">
        <f t="shared" si="22"/>
        <v>0</v>
      </c>
      <c r="H63" s="332">
        <f t="shared" si="22"/>
        <v>596000</v>
      </c>
      <c r="I63" s="332">
        <f t="shared" si="22"/>
        <v>596000</v>
      </c>
      <c r="J63" s="332">
        <f t="shared" si="22"/>
        <v>596000</v>
      </c>
      <c r="K63" s="332">
        <f t="shared" si="22"/>
        <v>260000</v>
      </c>
      <c r="L63" s="332">
        <f t="shared" si="22"/>
        <v>230000</v>
      </c>
      <c r="M63" s="332">
        <f t="shared" si="22"/>
        <v>210000</v>
      </c>
      <c r="N63" s="332">
        <f t="shared" si="22"/>
        <v>0</v>
      </c>
      <c r="O63" s="400">
        <f t="shared" si="22"/>
        <v>0</v>
      </c>
      <c r="P63" s="355">
        <f t="shared" ref="P63" si="23">SUM(B63:O63)-J63</f>
        <v>3064200</v>
      </c>
      <c r="Q63" s="379"/>
      <c r="R63" s="379"/>
      <c r="S63" s="379"/>
      <c r="T63" s="379"/>
      <c r="U63" s="379"/>
      <c r="V63" s="523" t="s">
        <v>423</v>
      </c>
      <c r="W63" s="524">
        <v>91999906</v>
      </c>
      <c r="X63" s="525" t="s">
        <v>881</v>
      </c>
      <c r="Y63" s="525" t="s">
        <v>881</v>
      </c>
      <c r="Z63" s="292">
        <v>0.375</v>
      </c>
      <c r="AA63" s="292">
        <v>0.47916666666666669</v>
      </c>
      <c r="AB63" s="290">
        <v>9180</v>
      </c>
      <c r="AC63" s="479">
        <v>2.5</v>
      </c>
    </row>
    <row r="64" spans="1:31">
      <c r="A64" s="412"/>
      <c r="B64" s="331"/>
      <c r="C64" s="332"/>
      <c r="D64" s="332"/>
      <c r="E64" s="340"/>
      <c r="F64" s="332"/>
      <c r="G64" s="332"/>
      <c r="H64" s="332"/>
      <c r="I64" s="332"/>
      <c r="J64" s="332"/>
      <c r="K64" s="340"/>
      <c r="L64" s="340"/>
      <c r="M64" s="340"/>
      <c r="N64" s="340"/>
      <c r="O64" s="401"/>
      <c r="P64" s="346"/>
      <c r="Q64" s="379"/>
      <c r="R64" s="379"/>
      <c r="S64" s="379"/>
      <c r="T64" s="379"/>
      <c r="U64" s="379"/>
      <c r="V64" s="523" t="s">
        <v>423</v>
      </c>
      <c r="W64" s="524">
        <v>91999914</v>
      </c>
      <c r="X64" s="525" t="s">
        <v>882</v>
      </c>
      <c r="Y64" s="525" t="s">
        <v>882</v>
      </c>
      <c r="Z64" s="292">
        <v>0.375</v>
      </c>
      <c r="AA64" s="292">
        <v>0.47916666666666669</v>
      </c>
      <c r="AB64" s="290">
        <v>9180</v>
      </c>
      <c r="AC64" s="479">
        <v>2.5</v>
      </c>
      <c r="AD64" s="293"/>
    </row>
    <row r="65" spans="1:31" ht="15.6">
      <c r="A65" s="411" t="s">
        <v>475</v>
      </c>
      <c r="B65" s="331"/>
      <c r="C65" s="332"/>
      <c r="D65" s="332"/>
      <c r="E65" s="340"/>
      <c r="F65" s="332"/>
      <c r="G65" s="332"/>
      <c r="H65" s="332"/>
      <c r="I65" s="332"/>
      <c r="J65" s="332"/>
      <c r="K65" s="340"/>
      <c r="L65" s="340"/>
      <c r="M65" s="340"/>
      <c r="N65" s="340"/>
      <c r="O65" s="401"/>
      <c r="P65" s="346"/>
      <c r="Q65" s="379"/>
      <c r="R65" s="379"/>
      <c r="S65" s="379"/>
      <c r="T65" s="379"/>
      <c r="U65" s="379"/>
      <c r="V65" s="523" t="s">
        <v>423</v>
      </c>
      <c r="W65" s="524">
        <v>91999914</v>
      </c>
      <c r="X65" s="525" t="s">
        <v>883</v>
      </c>
      <c r="Y65" s="525" t="s">
        <v>883</v>
      </c>
      <c r="Z65" s="292">
        <v>0.375</v>
      </c>
      <c r="AA65" s="292">
        <v>0.47916666666666669</v>
      </c>
      <c r="AB65" s="290">
        <v>9180</v>
      </c>
      <c r="AC65" s="479">
        <v>2.5</v>
      </c>
      <c r="AD65" s="293"/>
    </row>
    <row r="66" spans="1:31">
      <c r="A66" s="445" t="s">
        <v>476</v>
      </c>
      <c r="B66" s="332">
        <f>IF(OR(B12="1",B12="P"),ROUND(B130*B88,0),0)+'UAT10-Oct'!B70</f>
        <v>5432330</v>
      </c>
      <c r="C66" s="332">
        <f>IF(OR(C12="1",C12="P"),ROUND(C130*C88,0),0)+'UAT10-Oct'!C70</f>
        <v>4426733</v>
      </c>
      <c r="D66" s="332">
        <f>IF(OR(D12="1",D12="P"),ROUND(D130*D88,0),0)+'UAT10-Oct'!D70</f>
        <v>0</v>
      </c>
      <c r="E66" s="332">
        <f>IF(OR(E12="1",E12="P"),ROUND(E130*E88,0),0)+'UAT10-Oct'!E70</f>
        <v>4432950</v>
      </c>
      <c r="F66" s="332">
        <f>IF(OR(F12="1",F12="P"),ROUND(F130*F88,0),0)+'UAT10-Oct'!F70</f>
        <v>0</v>
      </c>
      <c r="G66" s="332">
        <f>IF(OR(G12="1",G12="P"),ROUND(G130*G88,0),0)+'UAT10-Oct'!G70</f>
        <v>0</v>
      </c>
      <c r="H66" s="332">
        <f>IF(OR(H12="1",H12="P"),ROUND(H130*H88,0),0)+'UAT10-Oct'!H70</f>
        <v>0</v>
      </c>
      <c r="I66" s="332">
        <f>IF(OR(I12="1",I12="P"),ROUND(I130*I88,0),0)+'UAT10-Oct'!I70</f>
        <v>0</v>
      </c>
      <c r="J66" s="332">
        <f>IF(OR(J12="1",J12="P"),ROUND(J130*J88,0),0)+'UAT10-Oct'!J70</f>
        <v>42235977</v>
      </c>
      <c r="K66" s="332">
        <f>IF(OR(K12="1",K12="P"),ROUND(K130*K88,0),0)+'UAT10-Oct'!K70</f>
        <v>8270276</v>
      </c>
      <c r="L66" s="332">
        <f>IF(OR(L12="1",L12="P"),ROUND(L130*L88,0),0)+'UAT10-Oct'!L70</f>
        <v>43165103</v>
      </c>
      <c r="M66" s="332">
        <f>IF(OR(M12="1",M12="P"),ROUND(M130*M88,0),0)+'UAT10-Oct'!M70</f>
        <v>0</v>
      </c>
      <c r="N66" s="332">
        <f>IF(OR(N12="1",N12="P"),ROUND(N130*N88,0),0)+'UAT10-Oct'!N70</f>
        <v>0</v>
      </c>
      <c r="O66" s="332">
        <f>IF(OR(O12="1",O12="P"),ROUND(O130*O88,0),0)+'UAT10-Oct'!O70</f>
        <v>1517242</v>
      </c>
      <c r="P66" s="346">
        <f>SUM(B66:O66)</f>
        <v>109480611</v>
      </c>
      <c r="Q66" s="379"/>
      <c r="R66" s="379"/>
      <c r="S66" s="379"/>
      <c r="T66" s="379"/>
      <c r="U66" s="379"/>
      <c r="V66" s="514" t="s">
        <v>423</v>
      </c>
      <c r="W66" s="518">
        <v>91999912</v>
      </c>
      <c r="X66" s="444" t="s">
        <v>877</v>
      </c>
      <c r="Y66" s="444" t="s">
        <v>877</v>
      </c>
      <c r="Z66" s="515">
        <v>0.33333333333333331</v>
      </c>
      <c r="AA66" s="515">
        <v>0.75</v>
      </c>
      <c r="AB66" s="516">
        <v>9000</v>
      </c>
      <c r="AC66" s="517">
        <v>10</v>
      </c>
      <c r="AD66" s="293"/>
    </row>
    <row r="67" spans="1:31">
      <c r="A67" s="445" t="s">
        <v>484</v>
      </c>
      <c r="B67" s="617">
        <f>IF('New Hire'!C41&lt;'New Hire'!$Q$40,CEILING((NETWORKDAYS('New Hire'!C41,'New Hire'!$Q$40)+B146)/261,0.5),CEILING(B146/261,0.5))</f>
        <v>0</v>
      </c>
      <c r="C67" s="617">
        <f>IF('New Hire'!D41&lt;'New Hire'!$Q$40,CEILING((NETWORKDAYS('New Hire'!D41,'New Hire'!$Q$40)+C146)/261,0.5),CEILING(C146/261,0.5))</f>
        <v>3</v>
      </c>
      <c r="D67" s="617">
        <f>IF('New Hire'!E41&lt;'New Hire'!$Q$40,CEILING((NETWORKDAYS('New Hire'!E41,'New Hire'!$Q$40)+D146)/261,0.5),CEILING(D146/261,0.5))</f>
        <v>0</v>
      </c>
      <c r="E67" s="617">
        <f>IF('New Hire'!F41&lt;'New Hire'!$Q$40,CEILING((NETWORKDAYS('New Hire'!F41,'New Hire'!$Q$40)+E146)/261,0.5),CEILING(E146/261,0.5))</f>
        <v>0.5</v>
      </c>
      <c r="F67" s="617">
        <f>IF('New Hire'!G41&lt;'New Hire'!$Q$40,CEILING((NETWORKDAYS('New Hire'!G41,'New Hire'!$Q$40)+F146)/261,0.5),CEILING(F146/261,0.5))</f>
        <v>0</v>
      </c>
      <c r="G67" s="617">
        <f>IF('New Hire'!H41&lt;'New Hire'!$Q$40,CEILING((NETWORKDAYS('New Hire'!H41,'New Hire'!$Q$40)+G146)/261,0.5),CEILING(G146/261,0.5))</f>
        <v>0</v>
      </c>
      <c r="H67" s="617">
        <f>IF('New Hire'!I41&lt;'New Hire'!$Q$40,CEILING((NETWORKDAYS('New Hire'!I41,'New Hire'!$Q$40)+H146)/261,0.5),CEILING(H146/261,0.5))</f>
        <v>4.5</v>
      </c>
      <c r="I67" s="617">
        <f>IF('New Hire'!J41&lt;'New Hire'!$Q$40,CEILING((NETWORKDAYS('New Hire'!J41,'New Hire'!$Q$40)+I146)/261,0.5),CEILING(I146/261,0.5))</f>
        <v>0</v>
      </c>
      <c r="J67" s="617">
        <f>IF('New Hire'!K41&lt;'New Hire'!$Q$40,CEILING((NETWORKDAYS('New Hire'!K41,'New Hire'!$Q$40)+J146)/261,0.5),CEILING(J146/261,0.5))</f>
        <v>0</v>
      </c>
      <c r="K67" s="617">
        <f>IF('New Hire'!L41&lt;'New Hire'!$Q$40,CEILING((NETWORKDAYS('New Hire'!L41,'New Hire'!$Q$40)+K146)/261,0.5),CEILING(K146/261,0.5))</f>
        <v>0</v>
      </c>
      <c r="L67" s="617">
        <f>IF('New Hire'!M41&lt;'New Hire'!$Q$40,CEILING((NETWORKDAYS('New Hire'!M41,'New Hire'!$Q$40)+L146)/261,0.5),CEILING(L146/261,0.5))</f>
        <v>0</v>
      </c>
      <c r="M67" s="617">
        <f>IF('New Hire'!N41&lt;'New Hire'!$Q$40,CEILING((NETWORKDAYS('New Hire'!N41,'New Hire'!$Q$40)+M146)/261,0.5),CEILING(M146/261,0.5))</f>
        <v>0</v>
      </c>
      <c r="N67" s="617">
        <f>IF('New Hire'!O41&lt;'New Hire'!$Q$40,CEILING((NETWORKDAYS('New Hire'!O41,'New Hire'!$Q$40)+N146)/261,0.5),CEILING(N146/261,0.5))</f>
        <v>1.5</v>
      </c>
      <c r="O67" s="619">
        <f>IF('New Hire'!P41&lt;'New Hire'!$Q$40,CEILING((NETWORKDAYS('New Hire'!P41,'New Hire'!$Q$40)+O146)/261,0.5),CEILING(O146/261,0.5))</f>
        <v>0</v>
      </c>
      <c r="P67" s="618">
        <f>SUM(B67:O67)</f>
        <v>9.5</v>
      </c>
      <c r="Q67" s="379"/>
      <c r="R67" s="379"/>
      <c r="S67" s="379"/>
      <c r="T67" s="379"/>
      <c r="U67" s="379"/>
      <c r="V67" s="514" t="s">
        <v>423</v>
      </c>
      <c r="W67" s="518">
        <v>91999912</v>
      </c>
      <c r="X67" s="444" t="s">
        <v>878</v>
      </c>
      <c r="Y67" s="444" t="s">
        <v>878</v>
      </c>
      <c r="Z67" s="515">
        <v>0.33333333333333331</v>
      </c>
      <c r="AA67" s="515">
        <v>0.75</v>
      </c>
      <c r="AB67" s="516">
        <v>9000</v>
      </c>
      <c r="AC67" s="517">
        <v>10</v>
      </c>
    </row>
    <row r="68" spans="1:31">
      <c r="A68" s="445" t="s">
        <v>587</v>
      </c>
      <c r="B68" s="332">
        <f>B98+'UAT10-Oct'!B72-'UAT5-May'!B84</f>
        <v>68060000</v>
      </c>
      <c r="C68" s="332">
        <f>C98+'UAT10-Oct'!C72-'UAT5-May'!C84</f>
        <v>61820000</v>
      </c>
      <c r="D68" s="332">
        <f>D98+'UAT10-Oct'!D72</f>
        <v>28900000</v>
      </c>
      <c r="E68" s="332">
        <f>E98+'UAT10-Oct'!E72-'UAT5-May'!E84</f>
        <v>78393333</v>
      </c>
      <c r="F68" s="332">
        <f>F98+'UAT10-Oct'!F72-'UAT5-May'!F84</f>
        <v>109460000</v>
      </c>
      <c r="G68" s="332">
        <f>G98+'UAT10-Oct'!G72-'UAT5-May'!G84</f>
        <v>0</v>
      </c>
      <c r="H68" s="332">
        <f>H98+'UAT10-Oct'!H72-'UAT5-May'!H84</f>
        <v>733278000</v>
      </c>
      <c r="I68" s="332">
        <f>I98+'UAT10-Oct'!I72-'UAT5-May'!I84</f>
        <v>552279000</v>
      </c>
      <c r="J68" s="332">
        <f>J98+'UAT10-Oct'!J72-'UAT5-May'!J84</f>
        <v>442460000</v>
      </c>
      <c r="K68" s="332">
        <f>K98+'UAT10-Oct'!K72-'UAT5-May'!K84</f>
        <v>91460000</v>
      </c>
      <c r="L68" s="332">
        <f>L98+'UAT10-Oct'!L72-'UAT5-May'!L84</f>
        <v>82460000</v>
      </c>
      <c r="M68" s="332">
        <f>M98+'UAT10-Oct'!M72-'UAT5-May'!M84</f>
        <v>76260000</v>
      </c>
      <c r="N68" s="332">
        <f>N98+'UAT10-Oct'!N72-'UAT5-May'!N84</f>
        <v>78560000</v>
      </c>
      <c r="O68" s="400">
        <f>O98+'UAT10-Oct'!O72-'UAT5-May'!O84</f>
        <v>12000000</v>
      </c>
      <c r="P68" s="346">
        <f>SUM(B68:O68)</f>
        <v>2415390333</v>
      </c>
      <c r="Q68" s="341"/>
      <c r="R68" s="341"/>
      <c r="S68" s="341"/>
      <c r="T68" s="341"/>
      <c r="U68" s="341"/>
      <c r="V68" s="514" t="s">
        <v>423</v>
      </c>
      <c r="W68" s="518">
        <v>91999912</v>
      </c>
      <c r="X68" s="444" t="s">
        <v>879</v>
      </c>
      <c r="Y68" s="444" t="s">
        <v>879</v>
      </c>
      <c r="Z68" s="515">
        <v>0.33333333333333331</v>
      </c>
      <c r="AA68" s="515">
        <v>0.75</v>
      </c>
      <c r="AB68" s="516">
        <v>9000</v>
      </c>
      <c r="AC68" s="517">
        <v>10</v>
      </c>
    </row>
    <row r="69" spans="1:31">
      <c r="A69" s="445" t="s">
        <v>1207</v>
      </c>
      <c r="B69" s="7">
        <v>8</v>
      </c>
      <c r="C69" s="7"/>
      <c r="D69" s="7"/>
      <c r="E69" s="7">
        <v>15</v>
      </c>
      <c r="F69" s="7"/>
      <c r="G69" s="7"/>
      <c r="H69" s="7"/>
      <c r="I69" s="7"/>
      <c r="J69" s="7">
        <v>8</v>
      </c>
      <c r="K69" s="7"/>
      <c r="L69" s="7"/>
      <c r="M69" s="7">
        <v>180</v>
      </c>
      <c r="N69" s="7">
        <v>10</v>
      </c>
      <c r="O69" s="12"/>
      <c r="P69" s="478">
        <f>SUM(B69:O69)</f>
        <v>221</v>
      </c>
      <c r="Q69" s="341"/>
      <c r="R69" s="341"/>
      <c r="S69" s="341"/>
      <c r="T69" s="341"/>
      <c r="U69" s="341"/>
      <c r="V69" s="33"/>
      <c r="W69" s="45"/>
      <c r="X69" s="13"/>
      <c r="Y69" s="13"/>
      <c r="Z69" s="13"/>
      <c r="AA69" s="13"/>
      <c r="AB69" s="13"/>
      <c r="AC69" s="18"/>
    </row>
    <row r="70" spans="1:31">
      <c r="A70" s="412"/>
      <c r="B70" s="331"/>
      <c r="C70" s="332"/>
      <c r="D70" s="332"/>
      <c r="E70" s="340"/>
      <c r="F70" s="332"/>
      <c r="G70" s="332"/>
      <c r="H70" s="332"/>
      <c r="I70" s="332"/>
      <c r="J70" s="332"/>
      <c r="K70" s="340"/>
      <c r="L70" s="340"/>
      <c r="M70" s="340"/>
      <c r="N70" s="340"/>
      <c r="O70" s="401"/>
      <c r="P70" s="346"/>
      <c r="Q70" s="341"/>
      <c r="R70" s="341"/>
      <c r="S70" s="341"/>
      <c r="T70" s="341"/>
      <c r="U70" s="341"/>
      <c r="V70" s="33"/>
      <c r="W70" s="45"/>
      <c r="X70" s="13"/>
      <c r="Y70" s="13"/>
      <c r="Z70" s="13"/>
      <c r="AA70" s="13"/>
      <c r="AB70" s="13"/>
      <c r="AC70" s="18"/>
    </row>
    <row r="71" spans="1:31" ht="15.6">
      <c r="A71" s="411" t="s">
        <v>889</v>
      </c>
      <c r="B71" s="480"/>
      <c r="C71" s="480"/>
      <c r="D71" s="480"/>
      <c r="E71" s="480"/>
      <c r="F71" s="480"/>
      <c r="G71" s="480"/>
      <c r="H71" s="480"/>
      <c r="I71" s="480"/>
      <c r="J71" s="590"/>
      <c r="K71" s="480"/>
      <c r="L71" s="480"/>
      <c r="M71" s="480"/>
      <c r="N71" s="480"/>
      <c r="O71" s="588"/>
      <c r="P71" s="346"/>
      <c r="Q71" s="341"/>
      <c r="R71" s="341"/>
      <c r="S71" s="341"/>
      <c r="T71" s="341"/>
      <c r="U71" s="341"/>
      <c r="V71" s="32"/>
      <c r="W71" s="44"/>
      <c r="X71" s="13"/>
      <c r="Y71" s="13"/>
      <c r="Z71" s="13"/>
      <c r="AA71" s="13"/>
      <c r="AB71" s="13"/>
      <c r="AC71" s="18"/>
    </row>
    <row r="72" spans="1:31">
      <c r="A72" s="474" t="s">
        <v>885</v>
      </c>
      <c r="B72" s="340">
        <f t="shared" ref="B72:O72" si="24">B83*B118</f>
        <v>3190415</v>
      </c>
      <c r="C72" s="340">
        <f t="shared" si="24"/>
        <v>-1573836</v>
      </c>
      <c r="D72" s="340">
        <f t="shared" si="24"/>
        <v>1269240</v>
      </c>
      <c r="E72" s="340">
        <f t="shared" si="24"/>
        <v>5076960</v>
      </c>
      <c r="F72" s="340">
        <f t="shared" si="24"/>
        <v>5907712</v>
      </c>
      <c r="G72" s="340">
        <f t="shared" si="24"/>
        <v>0</v>
      </c>
      <c r="H72" s="340">
        <f t="shared" si="24"/>
        <v>29452520</v>
      </c>
      <c r="I72" s="340">
        <f t="shared" si="24"/>
        <v>0</v>
      </c>
      <c r="J72" s="340">
        <f t="shared" si="24"/>
        <v>6980776</v>
      </c>
      <c r="K72" s="340">
        <f t="shared" si="24"/>
        <v>4615360</v>
      </c>
      <c r="L72" s="340">
        <f t="shared" si="24"/>
        <v>5307680</v>
      </c>
      <c r="M72" s="340">
        <f t="shared" si="24"/>
        <v>3109645</v>
      </c>
      <c r="N72" s="340">
        <f t="shared" si="24"/>
        <v>3553858</v>
      </c>
      <c r="O72" s="401">
        <f t="shared" si="24"/>
        <v>0</v>
      </c>
      <c r="P72" s="346">
        <f t="shared" ref="P72:P76" si="25">SUM(B72:O72)-J72</f>
        <v>59909554</v>
      </c>
      <c r="Q72" s="481"/>
      <c r="R72" s="481"/>
      <c r="S72" s="379"/>
      <c r="T72" s="379"/>
      <c r="U72" s="379"/>
      <c r="V72" s="24" t="s">
        <v>57</v>
      </c>
      <c r="W72" s="37" t="s">
        <v>67</v>
      </c>
      <c r="X72" s="37" t="s">
        <v>69</v>
      </c>
      <c r="Y72" s="37" t="s">
        <v>70</v>
      </c>
      <c r="Z72" s="62" t="s">
        <v>425</v>
      </c>
      <c r="AA72" s="363" t="s">
        <v>426</v>
      </c>
      <c r="AB72" s="37" t="s">
        <v>56</v>
      </c>
      <c r="AC72" s="38"/>
    </row>
    <row r="73" spans="1:31">
      <c r="A73" s="474" t="s">
        <v>886</v>
      </c>
      <c r="B73" s="340">
        <f t="shared" ref="B73:O73" si="26">B83*B117</f>
        <v>6057750</v>
      </c>
      <c r="C73" s="340">
        <f t="shared" si="26"/>
        <v>2432292</v>
      </c>
      <c r="D73" s="340">
        <f t="shared" si="26"/>
        <v>2538480</v>
      </c>
      <c r="E73" s="340">
        <f t="shared" si="26"/>
        <v>10153920</v>
      </c>
      <c r="F73" s="340">
        <f t="shared" si="26"/>
        <v>11815424</v>
      </c>
      <c r="G73" s="340">
        <f t="shared" si="26"/>
        <v>0</v>
      </c>
      <c r="H73" s="340">
        <f t="shared" si="26"/>
        <v>58905040</v>
      </c>
      <c r="I73" s="340">
        <f t="shared" si="26"/>
        <v>0</v>
      </c>
      <c r="J73" s="340">
        <f t="shared" si="26"/>
        <v>13961552</v>
      </c>
      <c r="K73" s="340">
        <f t="shared" si="26"/>
        <v>9230720</v>
      </c>
      <c r="L73" s="340">
        <f t="shared" si="26"/>
        <v>10615360</v>
      </c>
      <c r="M73" s="340">
        <f t="shared" si="26"/>
        <v>6259675</v>
      </c>
      <c r="N73" s="340">
        <f t="shared" si="26"/>
        <v>7153870</v>
      </c>
      <c r="O73" s="401">
        <f t="shared" si="26"/>
        <v>0</v>
      </c>
      <c r="P73" s="346">
        <f t="shared" si="25"/>
        <v>125162531</v>
      </c>
      <c r="V73" s="514" t="s">
        <v>824</v>
      </c>
      <c r="W73" s="545">
        <v>91999903</v>
      </c>
      <c r="X73" s="546">
        <v>43709</v>
      </c>
      <c r="Y73" s="546">
        <v>43738</v>
      </c>
      <c r="Z73" s="515"/>
      <c r="AA73" s="515"/>
      <c r="AB73" s="516">
        <v>3042</v>
      </c>
      <c r="AC73" s="517">
        <f>_xlfn.DAYS(Y73,X73)+1</f>
        <v>30</v>
      </c>
    </row>
    <row r="74" spans="1:31">
      <c r="A74" s="474" t="s">
        <v>928</v>
      </c>
      <c r="B74" s="340" t="e">
        <f>IF(OR(B20="A",B20="B"),ROUND(B143/12,0),ROUND(B143*$B$4/12,0))+'UAT10-Oct'!B78</f>
        <v>#REF!</v>
      </c>
      <c r="C74" s="340" t="e">
        <f>IF(OR(C20="A",C20="B"),ROUND(C143/12,0),ROUND(C143*$B$4/12,0))+'UAT10-Oct'!C78</f>
        <v>#REF!</v>
      </c>
      <c r="D74" s="340">
        <f>IF(OR(D20="A",D20="B"),ROUND(D143/12,0),ROUND(D143*$B$4/12,0))+'UAT10-Oct'!D78</f>
        <v>1833334</v>
      </c>
      <c r="E74" s="340" t="e">
        <f>IF(OR(E20="A",E20="B"),ROUND(E143/12,0),ROUND(E143*$B$4/12,0))+'UAT10-Oct'!E78</f>
        <v>#REF!</v>
      </c>
      <c r="F74" s="340" t="e">
        <f>IF(OR(F20="A",F20="B"),ROUND(F143/12,0),ROUND(F143*$B$4/12,0))+'UAT10-Oct'!F78</f>
        <v>#REF!</v>
      </c>
      <c r="G74" s="340" t="e">
        <f>IF(OR(G20="A",G20="B"),ROUND(G143/12,0),ROUND(G143*$B$4/12,0))+'UAT10-Oct'!G78</f>
        <v>#REF!</v>
      </c>
      <c r="H74" s="340" t="e">
        <f>IF(OR(H20="A",H20="B"),ROUND(H143/12,0),ROUND(H143*$B$4/12,0))+'UAT10-Oct'!H78</f>
        <v>#REF!</v>
      </c>
      <c r="I74" s="340" t="e">
        <f>IF(OR(I20="A",I20="B"),ROUND(I143/12,0),ROUND(I143*$B$4/12,0))+'UAT10-Oct'!I78</f>
        <v>#REF!</v>
      </c>
      <c r="J74" s="340" t="e">
        <f>IF(OR(J20="A",J20="B"),ROUND(J143/12,0),ROUND(J143*$B$4/12,0))+'UAT10-Oct'!J78</f>
        <v>#REF!</v>
      </c>
      <c r="K74" s="340" t="e">
        <f>IF(OR(K20="A",K20="B"),ROUND(K143/12,0),ROUND(K143*$B$4/12,0))+'UAT10-Oct'!K78</f>
        <v>#REF!</v>
      </c>
      <c r="L74" s="340" t="e">
        <f>IF(OR(L20="A",L20="B"),ROUND(L143/12,0),ROUND(L143*$B$4/12,0))+'UAT10-Oct'!L78</f>
        <v>#REF!</v>
      </c>
      <c r="M74" s="340" t="e">
        <f>IF(OR(M20="A",M20="B"),ROUND(M143/12,0),ROUND(M143*$B$4/12,0))+'UAT10-Oct'!M78</f>
        <v>#REF!</v>
      </c>
      <c r="N74" s="340" t="e">
        <f>IF(OR(N20="A",N20="B"),ROUND(N143/12,0),ROUND(N143*$B$4/12,0))+'UAT10-Oct'!N78</f>
        <v>#REF!</v>
      </c>
      <c r="O74" s="401" t="e">
        <f>IF(OR(O20="A",O20="B"),ROUND(O143/12,0),ROUND(O143*$B$4/12,0))+'UAT10-Oct'!O78</f>
        <v>#REF!</v>
      </c>
      <c r="P74" s="346" t="e">
        <f t="shared" si="25"/>
        <v>#REF!</v>
      </c>
      <c r="V74" s="514" t="s">
        <v>824</v>
      </c>
      <c r="W74" s="545">
        <v>91999904</v>
      </c>
      <c r="X74" s="546">
        <v>43709</v>
      </c>
      <c r="Y74" s="546">
        <v>43737</v>
      </c>
      <c r="Z74" s="515"/>
      <c r="AA74" s="515"/>
      <c r="AB74" s="516">
        <v>3042</v>
      </c>
      <c r="AC74" s="517">
        <f>_xlfn.DAYS(Y74,X74)+1</f>
        <v>29</v>
      </c>
    </row>
    <row r="75" spans="1:31">
      <c r="A75" s="474" t="s">
        <v>887</v>
      </c>
      <c r="B75" s="340"/>
      <c r="C75" s="340">
        <f>ROUND((C130+C136+C137)/12*AB39*C17/261,0)</f>
        <v>3159</v>
      </c>
      <c r="D75" s="340"/>
      <c r="E75" s="340"/>
      <c r="F75" s="340"/>
      <c r="G75" s="340"/>
      <c r="H75" s="340">
        <f>ROUND((H130*B4+H136+H137)/12*AB40*H17/261,0)</f>
        <v>479214</v>
      </c>
      <c r="I75" s="340"/>
      <c r="J75" s="453"/>
      <c r="K75" s="340"/>
      <c r="L75" s="340"/>
      <c r="M75" s="340"/>
      <c r="N75" s="340"/>
      <c r="O75" s="401"/>
      <c r="P75" s="346">
        <f t="shared" si="25"/>
        <v>482373</v>
      </c>
      <c r="Q75" s="341"/>
      <c r="R75" s="482"/>
      <c r="S75" s="341"/>
      <c r="T75" s="341"/>
      <c r="U75" s="341"/>
      <c r="V75" s="514" t="s">
        <v>292</v>
      </c>
      <c r="W75" s="545">
        <v>91999901</v>
      </c>
      <c r="X75" s="546">
        <v>43709</v>
      </c>
      <c r="Y75" s="546">
        <v>43723</v>
      </c>
      <c r="Z75" s="515"/>
      <c r="AA75" s="515"/>
      <c r="AB75" s="516">
        <v>3045</v>
      </c>
      <c r="AC75" s="517">
        <f>_xlfn.DAYS(Y75,X75)+1</f>
        <v>15</v>
      </c>
    </row>
    <row r="76" spans="1:31">
      <c r="A76" s="474" t="s">
        <v>888</v>
      </c>
      <c r="B76" s="340">
        <f t="shared" ref="B76:O76" si="27">IF(OR(B20="A",B20="B"),ROUND(B67*B130*50%,0),ROUND(B67*B130*$B$4*50%,0))</f>
        <v>0</v>
      </c>
      <c r="C76" s="340">
        <f t="shared" si="27"/>
        <v>9300000</v>
      </c>
      <c r="D76" s="340">
        <f t="shared" si="27"/>
        <v>0</v>
      </c>
      <c r="E76" s="340">
        <f t="shared" si="27"/>
        <v>2750000</v>
      </c>
      <c r="F76" s="340">
        <f t="shared" si="27"/>
        <v>0</v>
      </c>
      <c r="G76" s="340">
        <f t="shared" si="27"/>
        <v>0</v>
      </c>
      <c r="H76" s="340">
        <f t="shared" si="27"/>
        <v>287161875</v>
      </c>
      <c r="I76" s="340">
        <f t="shared" si="27"/>
        <v>0</v>
      </c>
      <c r="J76" s="340">
        <f t="shared" si="27"/>
        <v>0</v>
      </c>
      <c r="K76" s="340">
        <f t="shared" si="27"/>
        <v>0</v>
      </c>
      <c r="L76" s="340">
        <f t="shared" si="27"/>
        <v>0</v>
      </c>
      <c r="M76" s="340">
        <f t="shared" si="27"/>
        <v>0</v>
      </c>
      <c r="N76" s="340">
        <f t="shared" si="27"/>
        <v>6000000</v>
      </c>
      <c r="O76" s="401">
        <f t="shared" si="27"/>
        <v>0</v>
      </c>
      <c r="P76" s="346">
        <f t="shared" si="25"/>
        <v>305211875</v>
      </c>
      <c r="Q76" s="341"/>
      <c r="R76" s="482"/>
      <c r="S76" s="341"/>
      <c r="T76" s="341"/>
      <c r="U76" s="341"/>
      <c r="V76" s="33"/>
      <c r="W76" s="45"/>
      <c r="X76" s="13"/>
      <c r="Y76" s="13"/>
      <c r="Z76" s="13"/>
      <c r="AA76" s="13"/>
      <c r="AB76" s="13"/>
      <c r="AC76" s="18"/>
    </row>
    <row r="77" spans="1:31">
      <c r="A77" s="474"/>
      <c r="B77" s="340"/>
      <c r="C77" s="340"/>
      <c r="D77" s="340"/>
      <c r="E77" s="340"/>
      <c r="F77" s="340"/>
      <c r="G77" s="340"/>
      <c r="H77" s="340"/>
      <c r="I77" s="340"/>
      <c r="J77" s="340"/>
      <c r="K77" s="340"/>
      <c r="L77" s="340"/>
      <c r="M77" s="340"/>
      <c r="N77" s="340"/>
      <c r="O77" s="401"/>
      <c r="P77" s="346"/>
      <c r="Q77" s="347"/>
      <c r="R77" s="482"/>
      <c r="S77" s="341"/>
      <c r="T77" s="341"/>
      <c r="U77" s="341"/>
      <c r="V77" s="33"/>
      <c r="W77" s="45"/>
      <c r="X77" s="13"/>
      <c r="Y77" s="13"/>
      <c r="Z77" s="13"/>
      <c r="AA77" s="13"/>
      <c r="AB77" s="13"/>
      <c r="AC77" s="18"/>
    </row>
    <row r="78" spans="1:31" ht="15.6">
      <c r="A78" s="411" t="s">
        <v>704</v>
      </c>
      <c r="B78" s="331"/>
      <c r="C78" s="332"/>
      <c r="D78" s="332"/>
      <c r="E78" s="340"/>
      <c r="F78" s="332"/>
      <c r="G78" s="332"/>
      <c r="H78" s="332"/>
      <c r="I78" s="332"/>
      <c r="J78" s="332"/>
      <c r="K78" s="340"/>
      <c r="L78" s="340"/>
      <c r="M78" s="340"/>
      <c r="N78" s="340"/>
      <c r="O78" s="401"/>
      <c r="P78" s="346"/>
      <c r="Q78" s="347"/>
      <c r="R78" s="482"/>
      <c r="S78" s="341"/>
      <c r="T78" s="341"/>
      <c r="U78" s="341"/>
      <c r="V78" s="32"/>
      <c r="W78" s="44"/>
      <c r="X78" s="13"/>
      <c r="Y78" s="13"/>
      <c r="Z78" s="13"/>
      <c r="AA78" s="13"/>
      <c r="AB78" s="13"/>
      <c r="AC78" s="18"/>
    </row>
    <row r="79" spans="1:31" s="5" customFormat="1">
      <c r="A79" s="501" t="s">
        <v>1160</v>
      </c>
      <c r="B79" s="502"/>
      <c r="C79" s="502"/>
      <c r="D79" s="502"/>
      <c r="E79" s="502"/>
      <c r="F79" s="502"/>
      <c r="G79" s="502"/>
      <c r="H79" s="502"/>
      <c r="I79" s="502"/>
      <c r="J79" s="502"/>
      <c r="K79" s="502"/>
      <c r="L79" s="502"/>
      <c r="M79" s="502">
        <f>ROUND('UAT10-Oct'!M108*AC66*100%,0)+ROUND('UAT10-Oct'!M108*AC67*100%,0)+ROUND('UAT10-Oct'!M108*AC68*100%,0)</f>
        <v>1211550</v>
      </c>
      <c r="N79" s="502"/>
      <c r="O79" s="503"/>
      <c r="P79" s="504">
        <f t="shared" ref="P79:P80" si="28">SUM(B79:O79)</f>
        <v>1211550</v>
      </c>
      <c r="Q79" s="519" t="s">
        <v>597</v>
      </c>
      <c r="R79" s="519" t="s">
        <v>597</v>
      </c>
      <c r="S79" s="520"/>
      <c r="T79" s="521"/>
      <c r="U79" s="521"/>
      <c r="AD79"/>
      <c r="AE79"/>
    </row>
    <row r="80" spans="1:31" s="5" customFormat="1">
      <c r="A80" s="527" t="s">
        <v>747</v>
      </c>
      <c r="B80" s="502"/>
      <c r="C80" s="502"/>
      <c r="D80" s="502"/>
      <c r="E80" s="502"/>
      <c r="F80" s="502"/>
      <c r="G80" s="502"/>
      <c r="H80" s="502"/>
      <c r="I80" s="502"/>
      <c r="J80" s="502"/>
      <c r="K80" s="502"/>
      <c r="L80" s="502"/>
      <c r="M80" s="502">
        <f>ROUND('UAT10-Oct'!M108*AC66*100%,0)+ROUND('UAT10-Oct'!M108*AC67*100%,0)+ROUND('UAT10-Oct'!M108*AC68*100%,0)</f>
        <v>1211550</v>
      </c>
      <c r="N80" s="502"/>
      <c r="O80" s="503"/>
      <c r="P80" s="504">
        <f t="shared" si="28"/>
        <v>1211550</v>
      </c>
      <c r="Q80" s="519" t="s">
        <v>597</v>
      </c>
      <c r="R80" s="519"/>
      <c r="S80" s="522"/>
      <c r="T80" s="522"/>
      <c r="U80" s="522"/>
      <c r="AD80"/>
      <c r="AE80"/>
    </row>
    <row r="81" spans="1:31" s="5" customFormat="1">
      <c r="A81" s="412"/>
      <c r="B81" s="331"/>
      <c r="C81" s="332"/>
      <c r="D81" s="332"/>
      <c r="E81" s="340"/>
      <c r="F81" s="332"/>
      <c r="G81" s="332"/>
      <c r="H81" s="332"/>
      <c r="I81" s="332"/>
      <c r="J81" s="332"/>
      <c r="K81" s="340"/>
      <c r="L81" s="340"/>
      <c r="M81" s="340"/>
      <c r="N81" s="340"/>
      <c r="O81" s="401"/>
      <c r="P81" s="346"/>
      <c r="Q81" s="537"/>
      <c r="R81" s="537"/>
      <c r="S81" s="537"/>
      <c r="T81" s="537"/>
      <c r="U81" s="537"/>
      <c r="AD81"/>
      <c r="AE81"/>
    </row>
    <row r="82" spans="1:31" s="5" customFormat="1" ht="15.6">
      <c r="A82" s="411" t="s">
        <v>485</v>
      </c>
      <c r="B82" s="331"/>
      <c r="C82" s="332"/>
      <c r="D82" s="332"/>
      <c r="E82" s="340"/>
      <c r="F82" s="332"/>
      <c r="G82" s="332"/>
      <c r="H82" s="332"/>
      <c r="I82" s="332"/>
      <c r="J82" s="332"/>
      <c r="K82" s="340"/>
      <c r="L82" s="340"/>
      <c r="M82" s="340"/>
      <c r="N82" s="340"/>
      <c r="O82" s="401"/>
      <c r="P82" s="346"/>
      <c r="Q82" s="347"/>
      <c r="R82" s="380"/>
      <c r="S82" s="380"/>
      <c r="T82" s="380"/>
      <c r="U82" s="380"/>
      <c r="AD82"/>
      <c r="AE82"/>
    </row>
    <row r="83" spans="1:31" s="5" customFormat="1">
      <c r="A83" s="445" t="s">
        <v>490</v>
      </c>
      <c r="B83" s="332">
        <f t="shared" ref="B83:O83" si="29">IF(OR(B20="A",B20="B"),IF(B12&lt;&gt;"C",ROUND(B130*12/52/40,0),B131),IF(B12&lt;&gt;"C",ROUND(B130*$B$4*12/52/40,0),B131*$B$4))</f>
        <v>40385</v>
      </c>
      <c r="C83" s="332">
        <f t="shared" si="29"/>
        <v>35769</v>
      </c>
      <c r="D83" s="332">
        <f t="shared" si="29"/>
        <v>63462</v>
      </c>
      <c r="E83" s="332">
        <f t="shared" si="29"/>
        <v>63462</v>
      </c>
      <c r="F83" s="332">
        <f t="shared" si="29"/>
        <v>92308</v>
      </c>
      <c r="G83" s="332">
        <f t="shared" si="29"/>
        <v>5801250</v>
      </c>
      <c r="H83" s="332">
        <f t="shared" si="29"/>
        <v>736313</v>
      </c>
      <c r="I83" s="332">
        <f t="shared" si="29"/>
        <v>562275</v>
      </c>
      <c r="J83" s="332">
        <f t="shared" si="29"/>
        <v>317308</v>
      </c>
      <c r="K83" s="332">
        <f t="shared" si="29"/>
        <v>57692</v>
      </c>
      <c r="L83" s="332">
        <f t="shared" si="29"/>
        <v>66346</v>
      </c>
      <c r="M83" s="332">
        <f t="shared" si="29"/>
        <v>40385</v>
      </c>
      <c r="N83" s="332">
        <f t="shared" si="29"/>
        <v>46154</v>
      </c>
      <c r="O83" s="400">
        <f t="shared" si="29"/>
        <v>900000</v>
      </c>
      <c r="P83" s="346">
        <f t="shared" ref="P83:P91" si="30">SUM(B83:O83)</f>
        <v>8823109</v>
      </c>
      <c r="Q83" s="347"/>
      <c r="R83" s="347"/>
      <c r="S83" s="347"/>
      <c r="T83" s="347"/>
      <c r="U83" s="347"/>
      <c r="AD83"/>
      <c r="AE83"/>
    </row>
    <row r="84" spans="1:31" s="5" customFormat="1">
      <c r="A84" s="445" t="s">
        <v>501</v>
      </c>
      <c r="B84" s="332">
        <f t="shared" ref="B84:O84" si="31">IF(OR(B20="A",B20="B"),ROUND(SUM(B130,B132,B133,B135)*12/52/5*B14%,0),ROUND(SUM(B130,B132,B133,B135)*12/52/5*$B$4*B14%,0))</f>
        <v>420000</v>
      </c>
      <c r="C84" s="332">
        <f t="shared" si="31"/>
        <v>186000</v>
      </c>
      <c r="D84" s="332">
        <f t="shared" si="31"/>
        <v>666923</v>
      </c>
      <c r="E84" s="332">
        <f t="shared" si="31"/>
        <v>507692</v>
      </c>
      <c r="F84" s="332">
        <f t="shared" si="31"/>
        <v>738462</v>
      </c>
      <c r="G84" s="332">
        <f t="shared" si="31"/>
        <v>0</v>
      </c>
      <c r="H84" s="332">
        <f t="shared" si="31"/>
        <v>3828825</v>
      </c>
      <c r="I84" s="332">
        <f t="shared" si="31"/>
        <v>4498200</v>
      </c>
      <c r="J84" s="332">
        <f t="shared" si="31"/>
        <v>1650000</v>
      </c>
      <c r="K84" s="332">
        <f t="shared" si="31"/>
        <v>600000</v>
      </c>
      <c r="L84" s="332">
        <f t="shared" si="31"/>
        <v>530769</v>
      </c>
      <c r="M84" s="332">
        <f t="shared" si="31"/>
        <v>484615</v>
      </c>
      <c r="N84" s="332">
        <f t="shared" si="31"/>
        <v>500769</v>
      </c>
      <c r="O84" s="400">
        <f t="shared" si="31"/>
        <v>0</v>
      </c>
      <c r="P84" s="346">
        <f t="shared" si="30"/>
        <v>14612255</v>
      </c>
      <c r="Q84" s="347"/>
      <c r="R84" s="347"/>
      <c r="S84" s="347"/>
      <c r="T84" s="347"/>
      <c r="U84" s="347"/>
      <c r="AD84"/>
      <c r="AE84"/>
    </row>
    <row r="85" spans="1:31" s="5" customFormat="1">
      <c r="A85" s="445" t="s">
        <v>502</v>
      </c>
      <c r="B85" s="332">
        <f t="shared" ref="B85:O85" si="32">IF(OR(B20="A",B20="B"),ROUND(B130/B17,0),ROUND(B130*$B$4/B17,0))</f>
        <v>333333</v>
      </c>
      <c r="C85" s="332">
        <f t="shared" si="32"/>
        <v>295238</v>
      </c>
      <c r="D85" s="332">
        <f t="shared" si="32"/>
        <v>523810</v>
      </c>
      <c r="E85" s="332">
        <f t="shared" si="32"/>
        <v>523810</v>
      </c>
      <c r="F85" s="332">
        <f t="shared" si="32"/>
        <v>761905</v>
      </c>
      <c r="G85" s="332">
        <f t="shared" si="32"/>
        <v>0</v>
      </c>
      <c r="H85" s="332">
        <f t="shared" si="32"/>
        <v>6077500</v>
      </c>
      <c r="I85" s="332">
        <f t="shared" si="32"/>
        <v>4641000</v>
      </c>
      <c r="J85" s="332">
        <f t="shared" si="32"/>
        <v>2619048</v>
      </c>
      <c r="K85" s="332">
        <f t="shared" si="32"/>
        <v>476190</v>
      </c>
      <c r="L85" s="332">
        <f t="shared" si="32"/>
        <v>547619</v>
      </c>
      <c r="M85" s="332">
        <f t="shared" si="32"/>
        <v>333333</v>
      </c>
      <c r="N85" s="332">
        <f t="shared" si="32"/>
        <v>380952</v>
      </c>
      <c r="O85" s="400">
        <f t="shared" si="32"/>
        <v>0</v>
      </c>
      <c r="P85" s="346">
        <f t="shared" si="30"/>
        <v>17513738</v>
      </c>
      <c r="Q85" s="347"/>
      <c r="R85" s="347"/>
      <c r="S85" s="347"/>
      <c r="T85" s="347"/>
      <c r="U85" s="347"/>
      <c r="AD85"/>
      <c r="AE85"/>
    </row>
    <row r="86" spans="1:31" s="5" customFormat="1">
      <c r="A86" s="445" t="s">
        <v>628</v>
      </c>
      <c r="B86" s="332">
        <f t="shared" ref="B86:O86" si="33">IF(OR(B20="A",B20="B"),ROUND(SUM(B132,B133,B134,B136:B138)/B17,0),ROUND(SUM(B132,B133,B134,B136:B138)*$B$4/B17,0))</f>
        <v>100000</v>
      </c>
      <c r="C86" s="332">
        <f t="shared" si="33"/>
        <v>88571</v>
      </c>
      <c r="D86" s="332">
        <f t="shared" si="33"/>
        <v>164286</v>
      </c>
      <c r="E86" s="332">
        <f t="shared" si="33"/>
        <v>0</v>
      </c>
      <c r="F86" s="332">
        <f t="shared" si="33"/>
        <v>0</v>
      </c>
      <c r="G86" s="332">
        <f t="shared" si="33"/>
        <v>0</v>
      </c>
      <c r="H86" s="332">
        <f t="shared" si="33"/>
        <v>1823250</v>
      </c>
      <c r="I86" s="332">
        <f t="shared" si="33"/>
        <v>0</v>
      </c>
      <c r="J86" s="332">
        <f t="shared" si="33"/>
        <v>785714</v>
      </c>
      <c r="K86" s="332">
        <f t="shared" si="33"/>
        <v>142857</v>
      </c>
      <c r="L86" s="332">
        <f t="shared" si="33"/>
        <v>0</v>
      </c>
      <c r="M86" s="332">
        <f t="shared" si="33"/>
        <v>166667</v>
      </c>
      <c r="N86" s="332">
        <f t="shared" si="33"/>
        <v>135714</v>
      </c>
      <c r="O86" s="400">
        <f t="shared" si="33"/>
        <v>0</v>
      </c>
      <c r="P86" s="346">
        <f t="shared" si="30"/>
        <v>3407059</v>
      </c>
      <c r="Q86" s="347"/>
      <c r="R86" s="347"/>
      <c r="S86" s="347"/>
      <c r="T86" s="347"/>
      <c r="U86" s="347"/>
      <c r="AD86"/>
      <c r="AE86"/>
    </row>
    <row r="87" spans="1:31" s="5" customFormat="1">
      <c r="A87" s="445" t="s">
        <v>503</v>
      </c>
      <c r="B87" s="7">
        <f t="shared" ref="B87:O87" si="34">B15/B17*100%</f>
        <v>1</v>
      </c>
      <c r="C87" s="7">
        <f t="shared" si="34"/>
        <v>0.76190476190476186</v>
      </c>
      <c r="D87" s="7">
        <f t="shared" si="34"/>
        <v>1</v>
      </c>
      <c r="E87" s="7">
        <f t="shared" si="34"/>
        <v>1</v>
      </c>
      <c r="F87" s="7">
        <f t="shared" si="34"/>
        <v>1</v>
      </c>
      <c r="G87" s="7">
        <f t="shared" si="34"/>
        <v>1</v>
      </c>
      <c r="H87" s="7">
        <f t="shared" si="34"/>
        <v>1</v>
      </c>
      <c r="I87" s="7">
        <f t="shared" si="34"/>
        <v>1</v>
      </c>
      <c r="J87" s="7">
        <f t="shared" si="34"/>
        <v>1</v>
      </c>
      <c r="K87" s="7">
        <f t="shared" si="34"/>
        <v>1</v>
      </c>
      <c r="L87" s="7">
        <f t="shared" si="34"/>
        <v>1</v>
      </c>
      <c r="M87" s="7">
        <f t="shared" si="34"/>
        <v>1</v>
      </c>
      <c r="N87" s="7">
        <f t="shared" si="34"/>
        <v>0.2857142857142857</v>
      </c>
      <c r="O87" s="12">
        <f t="shared" si="34"/>
        <v>1</v>
      </c>
      <c r="P87" s="478">
        <f t="shared" si="30"/>
        <v>13.047619047619049</v>
      </c>
      <c r="Q87" s="347"/>
      <c r="R87" s="347"/>
      <c r="S87" s="347"/>
      <c r="T87" s="347"/>
      <c r="U87" s="347"/>
      <c r="V87" s="160"/>
      <c r="AD87"/>
      <c r="AE87"/>
    </row>
    <row r="88" spans="1:31" s="5" customFormat="1">
      <c r="A88" s="445" t="s">
        <v>504</v>
      </c>
      <c r="B88" s="7">
        <f t="shared" ref="B88:O88" si="35">(B15-B139)/261*100%</f>
        <v>8.0459770114942528E-2</v>
      </c>
      <c r="C88" s="7">
        <f t="shared" si="35"/>
        <v>6.1302681992337162E-2</v>
      </c>
      <c r="D88" s="7">
        <f t="shared" si="35"/>
        <v>8.0459770114942528E-2</v>
      </c>
      <c r="E88" s="7">
        <f t="shared" si="35"/>
        <v>8.0459770114942528E-2</v>
      </c>
      <c r="F88" s="7">
        <f t="shared" si="35"/>
        <v>8.0459770114942528E-2</v>
      </c>
      <c r="G88" s="7">
        <f t="shared" si="35"/>
        <v>8.0459770114942528E-2</v>
      </c>
      <c r="H88" s="7">
        <f t="shared" si="35"/>
        <v>8.0459770114942528E-2</v>
      </c>
      <c r="I88" s="7">
        <f t="shared" si="35"/>
        <v>8.0459770114942528E-2</v>
      </c>
      <c r="J88" s="7">
        <f t="shared" si="35"/>
        <v>8.0459770114942528E-2</v>
      </c>
      <c r="K88" s="7">
        <f t="shared" si="35"/>
        <v>8.0459770114942528E-2</v>
      </c>
      <c r="L88" s="7">
        <f t="shared" si="35"/>
        <v>8.0459770114942528E-2</v>
      </c>
      <c r="M88" s="7">
        <f t="shared" si="35"/>
        <v>8.0459770114942528E-2</v>
      </c>
      <c r="N88" s="7">
        <f t="shared" si="35"/>
        <v>2.2988505747126436E-2</v>
      </c>
      <c r="O88" s="7">
        <f t="shared" si="35"/>
        <v>8.0459770114942528E-2</v>
      </c>
      <c r="P88" s="478">
        <f t="shared" si="30"/>
        <v>1.0498084291187739</v>
      </c>
      <c r="Q88" s="347"/>
      <c r="R88" s="347"/>
      <c r="S88" s="347"/>
      <c r="T88" s="347"/>
      <c r="U88" s="347"/>
      <c r="AD88"/>
      <c r="AE88"/>
    </row>
    <row r="89" spans="1:31" s="5" customFormat="1">
      <c r="A89" s="445" t="s">
        <v>505</v>
      </c>
      <c r="B89" s="7">
        <f t="shared" ref="B89:O89" si="36">B140/B17*100%</f>
        <v>0</v>
      </c>
      <c r="C89" s="7">
        <f t="shared" si="36"/>
        <v>0</v>
      </c>
      <c r="D89" s="7">
        <f t="shared" si="36"/>
        <v>0</v>
      </c>
      <c r="E89" s="7">
        <f t="shared" si="36"/>
        <v>0</v>
      </c>
      <c r="F89" s="7">
        <f t="shared" si="36"/>
        <v>0</v>
      </c>
      <c r="G89" s="7">
        <f t="shared" si="36"/>
        <v>0</v>
      </c>
      <c r="H89" s="7">
        <f t="shared" si="36"/>
        <v>0</v>
      </c>
      <c r="I89" s="7">
        <f t="shared" si="36"/>
        <v>0</v>
      </c>
      <c r="J89" s="7">
        <f t="shared" si="36"/>
        <v>0</v>
      </c>
      <c r="K89" s="7">
        <f t="shared" si="36"/>
        <v>0</v>
      </c>
      <c r="L89" s="7">
        <f t="shared" si="36"/>
        <v>0</v>
      </c>
      <c r="M89" s="7">
        <f t="shared" si="36"/>
        <v>0</v>
      </c>
      <c r="N89" s="7">
        <f t="shared" si="36"/>
        <v>0</v>
      </c>
      <c r="O89" s="12">
        <f t="shared" si="36"/>
        <v>0</v>
      </c>
      <c r="P89" s="478">
        <f t="shared" si="30"/>
        <v>0</v>
      </c>
      <c r="Q89" s="347"/>
      <c r="R89" s="347"/>
      <c r="S89" s="347"/>
      <c r="T89" s="347"/>
      <c r="U89" s="347"/>
      <c r="W89" s="160"/>
      <c r="X89" s="160"/>
      <c r="Y89" s="160"/>
      <c r="Z89" s="160"/>
      <c r="AA89" s="160"/>
      <c r="AB89" s="160"/>
      <c r="AC89" s="160"/>
      <c r="AD89"/>
      <c r="AE89"/>
    </row>
    <row r="90" spans="1:31" s="5" customFormat="1">
      <c r="A90" s="451" t="s">
        <v>494</v>
      </c>
      <c r="B90" s="332">
        <f>ROUND(AA25*B18/365,0)</f>
        <v>657534</v>
      </c>
      <c r="C90" s="332">
        <f>ROUND(AA26*C18/365,0)</f>
        <v>504110</v>
      </c>
      <c r="E90" s="332">
        <f>ROUND(AA27*E18/365,0)</f>
        <v>657534</v>
      </c>
      <c r="F90" s="332">
        <f>ROUND(AA28*F18/365,0)</f>
        <v>657534</v>
      </c>
      <c r="G90" s="368"/>
      <c r="H90" s="592">
        <f>ROUND(AA29*G18/366,0)</f>
        <v>655738</v>
      </c>
      <c r="I90" s="332"/>
      <c r="J90" s="332"/>
      <c r="K90" s="340"/>
      <c r="L90" s="340"/>
      <c r="M90" s="340"/>
      <c r="N90" s="340"/>
      <c r="O90" s="401"/>
      <c r="P90" s="346">
        <f t="shared" si="30"/>
        <v>3132450</v>
      </c>
      <c r="Q90" s="537"/>
      <c r="R90" s="537"/>
      <c r="S90" s="537"/>
      <c r="T90" s="537"/>
      <c r="U90" s="537"/>
      <c r="AD90"/>
      <c r="AE90"/>
    </row>
    <row r="91" spans="1:31" s="5" customFormat="1">
      <c r="A91" s="445" t="s">
        <v>536</v>
      </c>
      <c r="B91" s="332">
        <f>ROUND(AA30*B18/365,0)</f>
        <v>575342</v>
      </c>
      <c r="C91" s="332">
        <f>ROUND(AA31*C18/365,0)</f>
        <v>441096</v>
      </c>
      <c r="E91" s="332">
        <f>ROUND(AA32*E18/365,0)</f>
        <v>575342</v>
      </c>
      <c r="F91" s="332">
        <f>ROUND(AA33*F18/365,0)</f>
        <v>575342</v>
      </c>
      <c r="G91" s="332"/>
      <c r="H91" s="332">
        <f>ROUND(AA34*G18/365,0)</f>
        <v>575342</v>
      </c>
      <c r="I91" s="332"/>
      <c r="J91" s="332"/>
      <c r="K91" s="332"/>
      <c r="L91" s="332"/>
      <c r="M91" s="332"/>
      <c r="N91" s="332"/>
      <c r="O91" s="400"/>
      <c r="P91" s="346">
        <f t="shared" si="30"/>
        <v>2742464</v>
      </c>
      <c r="Q91"/>
      <c r="R91" s="347"/>
      <c r="S91" s="347"/>
      <c r="T91" s="347"/>
      <c r="U91" s="347"/>
      <c r="AD91"/>
      <c r="AE91"/>
    </row>
    <row r="92" spans="1:31" s="5" customFormat="1">
      <c r="A92" s="412" t="s">
        <v>613</v>
      </c>
      <c r="B92" s="402"/>
      <c r="C92" s="80"/>
      <c r="D92" s="332"/>
      <c r="E92" s="332"/>
      <c r="F92" s="332"/>
      <c r="G92" s="332"/>
      <c r="H92" s="332">
        <f>AA35*B4</f>
        <v>2320500</v>
      </c>
      <c r="I92" s="332">
        <f>AA36*B4</f>
        <v>2320500</v>
      </c>
      <c r="J92" s="332"/>
      <c r="K92" s="340"/>
      <c r="L92" s="340"/>
      <c r="M92" s="340"/>
      <c r="N92" s="340"/>
      <c r="O92" s="401"/>
      <c r="P92" s="355">
        <f>SUM(D92:O92)</f>
        <v>4641000</v>
      </c>
      <c r="Q92" s="379"/>
      <c r="R92" s="379"/>
      <c r="S92" s="379"/>
      <c r="T92" s="379"/>
      <c r="U92" s="379"/>
      <c r="AD92"/>
      <c r="AE92"/>
    </row>
    <row r="93" spans="1:31" s="5" customFormat="1">
      <c r="A93" s="412" t="s">
        <v>614</v>
      </c>
      <c r="B93" s="402"/>
      <c r="C93" s="80"/>
      <c r="D93" s="332"/>
      <c r="E93" s="332"/>
      <c r="F93" s="332"/>
      <c r="G93" s="332"/>
      <c r="H93" s="332">
        <f>AA37*B4</f>
        <v>4641000</v>
      </c>
      <c r="I93" s="332">
        <f>AA38*B4</f>
        <v>4641000</v>
      </c>
      <c r="J93" s="332"/>
      <c r="K93" s="340"/>
      <c r="L93" s="340"/>
      <c r="M93" s="340"/>
      <c r="N93" s="340"/>
      <c r="O93" s="401"/>
      <c r="P93" s="355">
        <f>SUM(D93:O93)</f>
        <v>9282000</v>
      </c>
      <c r="Q93" s="379"/>
      <c r="R93" s="379"/>
      <c r="S93" s="379"/>
      <c r="T93" s="379"/>
      <c r="U93" s="379"/>
      <c r="AD93"/>
      <c r="AE93"/>
    </row>
    <row r="94" spans="1:31" s="5" customFormat="1">
      <c r="A94" s="412"/>
      <c r="B94" s="331"/>
      <c r="C94" s="332"/>
      <c r="D94" s="332"/>
      <c r="E94" s="340"/>
      <c r="F94" s="332"/>
      <c r="G94" s="332"/>
      <c r="H94" s="332"/>
      <c r="I94" s="332"/>
      <c r="J94" s="332"/>
      <c r="K94" s="340"/>
      <c r="L94" s="340"/>
      <c r="M94" s="340"/>
      <c r="N94" s="340"/>
      <c r="O94" s="401"/>
      <c r="P94" s="346"/>
      <c r="Q94"/>
      <c r="R94"/>
      <c r="S94"/>
      <c r="T94"/>
      <c r="U94"/>
      <c r="AD94"/>
      <c r="AE94"/>
    </row>
    <row r="95" spans="1:31" s="5" customFormat="1">
      <c r="A95" s="412" t="s">
        <v>579</v>
      </c>
      <c r="B95" s="331">
        <f t="shared" ref="B95:O95" si="37">SUM(B26:B37)</f>
        <v>9100000</v>
      </c>
      <c r="C95" s="332">
        <f t="shared" si="37"/>
        <v>41693353</v>
      </c>
      <c r="D95" s="332">
        <f t="shared" si="37"/>
        <v>14450000</v>
      </c>
      <c r="E95" s="332">
        <f t="shared" si="37"/>
        <v>11000000</v>
      </c>
      <c r="F95" s="332">
        <f t="shared" si="37"/>
        <v>16000000</v>
      </c>
      <c r="G95" s="332">
        <f t="shared" si="37"/>
        <v>29006250</v>
      </c>
      <c r="H95" s="332">
        <f t="shared" si="37"/>
        <v>368987999</v>
      </c>
      <c r="I95" s="332">
        <f t="shared" si="37"/>
        <v>90499500</v>
      </c>
      <c r="J95" s="332">
        <f t="shared" si="37"/>
        <v>71500000</v>
      </c>
      <c r="K95" s="332">
        <f t="shared" si="37"/>
        <v>13000000</v>
      </c>
      <c r="L95" s="332">
        <f t="shared" si="37"/>
        <v>11500000</v>
      </c>
      <c r="M95" s="332">
        <f t="shared" si="37"/>
        <v>12923100</v>
      </c>
      <c r="N95" s="332">
        <f t="shared" si="37"/>
        <v>27938150</v>
      </c>
      <c r="O95" s="400">
        <f t="shared" si="37"/>
        <v>4500000</v>
      </c>
      <c r="P95" s="346">
        <f t="shared" ref="P95:P121" si="38">SUM(B95:O95)</f>
        <v>722098352</v>
      </c>
      <c r="Q95"/>
      <c r="R95"/>
      <c r="S95"/>
      <c r="T95"/>
      <c r="U95"/>
      <c r="AD95"/>
      <c r="AE95"/>
    </row>
    <row r="96" spans="1:31" s="5" customFormat="1">
      <c r="A96" s="445" t="s">
        <v>580</v>
      </c>
      <c r="B96" s="332">
        <f t="shared" ref="B96:O96" si="39">SUM(B26:B29,B31:B34,B39,B40,B79)</f>
        <v>9952312</v>
      </c>
      <c r="C96" s="332">
        <f t="shared" si="39"/>
        <v>12691123</v>
      </c>
      <c r="D96" s="332">
        <f t="shared" si="39"/>
        <v>14450000</v>
      </c>
      <c r="E96" s="332">
        <f t="shared" si="39"/>
        <v>11949701</v>
      </c>
      <c r="F96" s="332">
        <f t="shared" si="39"/>
        <v>16657534</v>
      </c>
      <c r="G96" s="332">
        <f t="shared" si="39"/>
        <v>29006250</v>
      </c>
      <c r="H96" s="332">
        <f t="shared" si="39"/>
        <v>203724574</v>
      </c>
      <c r="I96" s="332">
        <f t="shared" si="39"/>
        <v>90499500</v>
      </c>
      <c r="J96" s="332">
        <f t="shared" si="39"/>
        <v>71500000</v>
      </c>
      <c r="K96" s="332">
        <f t="shared" si="39"/>
        <v>13000000</v>
      </c>
      <c r="L96" s="332">
        <f t="shared" si="39"/>
        <v>11500000</v>
      </c>
      <c r="M96" s="332">
        <f t="shared" si="39"/>
        <v>11711550</v>
      </c>
      <c r="N96" s="332">
        <f t="shared" si="39"/>
        <v>19800650</v>
      </c>
      <c r="O96" s="332">
        <f t="shared" si="39"/>
        <v>4500000</v>
      </c>
      <c r="P96" s="346">
        <f t="shared" si="38"/>
        <v>520943194</v>
      </c>
      <c r="Q96"/>
      <c r="R96"/>
      <c r="S96"/>
      <c r="T96"/>
      <c r="U96"/>
      <c r="AD96"/>
      <c r="AE96"/>
    </row>
    <row r="97" spans="1:32" s="5" customFormat="1">
      <c r="A97" s="445" t="s">
        <v>581</v>
      </c>
      <c r="B97" s="332">
        <f t="shared" ref="B97:O97" si="40">IF(B16&lt;B17/2,0,IF(OR(B20="A",B20="B"),SUM(B130,B132,B133,B135),B144))</f>
        <v>9100000</v>
      </c>
      <c r="C97" s="332">
        <f t="shared" si="40"/>
        <v>8060000</v>
      </c>
      <c r="D97" s="332">
        <f t="shared" si="40"/>
        <v>14450000</v>
      </c>
      <c r="E97" s="332">
        <f t="shared" si="40"/>
        <v>11000000</v>
      </c>
      <c r="F97" s="332">
        <f t="shared" si="40"/>
        <v>16000000</v>
      </c>
      <c r="G97" s="332">
        <f t="shared" si="40"/>
        <v>0</v>
      </c>
      <c r="H97" s="332">
        <f t="shared" si="40"/>
        <v>160975000</v>
      </c>
      <c r="I97" s="332">
        <f t="shared" si="40"/>
        <v>91650000</v>
      </c>
      <c r="J97" s="332">
        <f t="shared" si="40"/>
        <v>71500000</v>
      </c>
      <c r="K97" s="332">
        <f t="shared" si="40"/>
        <v>13000000</v>
      </c>
      <c r="L97" s="332">
        <f t="shared" si="40"/>
        <v>11500000</v>
      </c>
      <c r="M97" s="332">
        <f t="shared" si="40"/>
        <v>10500000</v>
      </c>
      <c r="N97" s="332">
        <f t="shared" si="40"/>
        <v>0</v>
      </c>
      <c r="O97" s="400">
        <f t="shared" si="40"/>
        <v>0</v>
      </c>
      <c r="P97" s="346">
        <f t="shared" si="38"/>
        <v>417735000</v>
      </c>
      <c r="Q97"/>
      <c r="R97"/>
      <c r="S97"/>
      <c r="T97"/>
      <c r="U97"/>
      <c r="AD97"/>
      <c r="AE97"/>
    </row>
    <row r="98" spans="1:32" s="5" customFormat="1">
      <c r="A98" s="412" t="s">
        <v>586</v>
      </c>
      <c r="B98" s="332">
        <f t="shared" ref="B98:O98" si="41">IF(OR(B20="A",B20="B"),SUM(B143,B132,B133,B136,B137,B135),SUM(B143,B135)*$B$4)</f>
        <v>9100000</v>
      </c>
      <c r="C98" s="332">
        <f t="shared" si="41"/>
        <v>8060000</v>
      </c>
      <c r="D98" s="332">
        <f t="shared" si="41"/>
        <v>14450000</v>
      </c>
      <c r="E98" s="332">
        <f t="shared" si="41"/>
        <v>11000000</v>
      </c>
      <c r="F98" s="332">
        <f t="shared" si="41"/>
        <v>16000000</v>
      </c>
      <c r="G98" s="332">
        <f t="shared" si="41"/>
        <v>0</v>
      </c>
      <c r="H98" s="332">
        <f t="shared" si="41"/>
        <v>120666000</v>
      </c>
      <c r="I98" s="332">
        <f t="shared" si="41"/>
        <v>90499500</v>
      </c>
      <c r="J98" s="332">
        <f t="shared" si="41"/>
        <v>71500000</v>
      </c>
      <c r="K98" s="332">
        <f t="shared" si="41"/>
        <v>13000000</v>
      </c>
      <c r="L98" s="332">
        <f t="shared" si="41"/>
        <v>11500000</v>
      </c>
      <c r="M98" s="332">
        <f t="shared" si="41"/>
        <v>10500000</v>
      </c>
      <c r="N98" s="332">
        <f t="shared" si="41"/>
        <v>10850000</v>
      </c>
      <c r="O98" s="400">
        <f t="shared" si="41"/>
        <v>0</v>
      </c>
      <c r="P98" s="346">
        <f t="shared" si="38"/>
        <v>387125500</v>
      </c>
      <c r="Q98"/>
      <c r="R98"/>
      <c r="S98"/>
      <c r="T98"/>
      <c r="U98"/>
      <c r="AD98"/>
      <c r="AE98"/>
    </row>
    <row r="99" spans="1:32" s="5" customFormat="1">
      <c r="A99" s="412" t="s">
        <v>483</v>
      </c>
      <c r="B99" s="332">
        <f>ROUND('UAT10-Oct'!B72/6,0)</f>
        <v>10910000</v>
      </c>
      <c r="C99" s="332">
        <f>ROUND('UAT10-Oct'!C72/6,0)</f>
        <v>9935000</v>
      </c>
      <c r="D99" s="332">
        <f>ROUND('UAT10-Oct'!D72/1,0)</f>
        <v>14450000</v>
      </c>
      <c r="E99" s="332">
        <f>ROUND('UAT10-Oct'!E72/6,0)</f>
        <v>12732222</v>
      </c>
      <c r="F99" s="332">
        <f>ROUND('UAT10-Oct'!F72/6,0)</f>
        <v>17910000</v>
      </c>
      <c r="G99" s="332">
        <f>ROUND('UAT10-Oct'!G72/6,0)</f>
        <v>0</v>
      </c>
      <c r="H99" s="332">
        <f>ROUND('UAT10-Oct'!H72/6,0)</f>
        <v>120279250</v>
      </c>
      <c r="I99" s="332">
        <f>ROUND('UAT10-Oct'!I72/6,0)</f>
        <v>91273000</v>
      </c>
      <c r="J99" s="332">
        <f>ROUND('UAT10-Oct'!J72/6,0)</f>
        <v>72660000</v>
      </c>
      <c r="K99" s="332">
        <f>ROUND('UAT10-Oct'!K72/6,0)</f>
        <v>14810000</v>
      </c>
      <c r="L99" s="332">
        <f>ROUND('UAT10-Oct'!L72/6,0)</f>
        <v>26826667</v>
      </c>
      <c r="M99" s="332">
        <f>ROUND('UAT10-Oct'!M72/6,0)</f>
        <v>12210000</v>
      </c>
      <c r="N99" s="332">
        <f>ROUND('UAT10-Oct'!N72/6,0)</f>
        <v>12785000</v>
      </c>
      <c r="O99" s="400">
        <f>ROUND('UAT10-Oct'!O72/6,0)</f>
        <v>3000000</v>
      </c>
      <c r="P99" s="346">
        <f t="shared" si="38"/>
        <v>419781139</v>
      </c>
      <c r="Q99"/>
      <c r="R99"/>
      <c r="S99"/>
      <c r="T99"/>
      <c r="U99"/>
      <c r="AD99"/>
      <c r="AE99"/>
    </row>
    <row r="100" spans="1:32" s="5" customFormat="1">
      <c r="A100" s="445" t="s">
        <v>486</v>
      </c>
      <c r="B100" s="332">
        <f>B96</f>
        <v>9952312</v>
      </c>
      <c r="C100" s="332">
        <f t="shared" ref="C100:O100" si="42">C96</f>
        <v>12691123</v>
      </c>
      <c r="D100" s="332">
        <f t="shared" si="42"/>
        <v>14450000</v>
      </c>
      <c r="E100" s="332">
        <f t="shared" si="42"/>
        <v>11949701</v>
      </c>
      <c r="F100" s="332">
        <f t="shared" si="42"/>
        <v>16657534</v>
      </c>
      <c r="G100" s="332">
        <f t="shared" si="42"/>
        <v>29006250</v>
      </c>
      <c r="H100" s="332">
        <f t="shared" si="42"/>
        <v>203724574</v>
      </c>
      <c r="I100" s="332">
        <f t="shared" si="42"/>
        <v>90499500</v>
      </c>
      <c r="J100" s="332">
        <f t="shared" si="42"/>
        <v>71500000</v>
      </c>
      <c r="K100" s="332">
        <f t="shared" si="42"/>
        <v>13000000</v>
      </c>
      <c r="L100" s="332">
        <f t="shared" si="42"/>
        <v>11500000</v>
      </c>
      <c r="M100" s="332">
        <f t="shared" si="42"/>
        <v>11711550</v>
      </c>
      <c r="N100" s="332">
        <f t="shared" si="42"/>
        <v>19800650</v>
      </c>
      <c r="O100" s="400">
        <f t="shared" si="42"/>
        <v>4500000</v>
      </c>
      <c r="P100" s="346">
        <f t="shared" si="38"/>
        <v>520943194</v>
      </c>
      <c r="Q100"/>
      <c r="R100"/>
      <c r="S100"/>
      <c r="T100"/>
      <c r="U100"/>
      <c r="AD100" s="293"/>
      <c r="AE100"/>
    </row>
    <row r="101" spans="1:32" s="5" customFormat="1">
      <c r="A101" s="445" t="s">
        <v>607</v>
      </c>
      <c r="B101" s="332">
        <f t="shared" ref="B101:O101" si="43">SUM(B46:B48)</f>
        <v>955500</v>
      </c>
      <c r="C101" s="332">
        <f t="shared" si="43"/>
        <v>846300</v>
      </c>
      <c r="D101" s="332">
        <f t="shared" si="43"/>
        <v>361250</v>
      </c>
      <c r="E101" s="332">
        <f t="shared" si="43"/>
        <v>1155000</v>
      </c>
      <c r="F101" s="332">
        <f t="shared" si="43"/>
        <v>0</v>
      </c>
      <c r="G101" s="332">
        <f t="shared" si="43"/>
        <v>0</v>
      </c>
      <c r="H101" s="332">
        <f t="shared" si="43"/>
        <v>447000</v>
      </c>
      <c r="I101" s="332">
        <f t="shared" si="43"/>
        <v>447000</v>
      </c>
      <c r="J101" s="332">
        <f t="shared" si="43"/>
        <v>3546000</v>
      </c>
      <c r="K101" s="332">
        <f t="shared" si="43"/>
        <v>0</v>
      </c>
      <c r="L101" s="332">
        <f t="shared" si="43"/>
        <v>1207500</v>
      </c>
      <c r="M101" s="332">
        <f t="shared" si="43"/>
        <v>0</v>
      </c>
      <c r="N101" s="332">
        <f t="shared" si="43"/>
        <v>0</v>
      </c>
      <c r="O101" s="400">
        <f t="shared" si="43"/>
        <v>0</v>
      </c>
      <c r="P101" s="346">
        <f t="shared" si="38"/>
        <v>8965550</v>
      </c>
      <c r="Q101"/>
      <c r="R101"/>
      <c r="S101"/>
      <c r="T101"/>
      <c r="U101"/>
      <c r="AD101" s="293"/>
      <c r="AE101"/>
    </row>
    <row r="102" spans="1:32" s="5" customFormat="1">
      <c r="A102" s="445" t="s">
        <v>902</v>
      </c>
      <c r="B102" s="332">
        <f t="shared" ref="B102:O102" si="44">IF(OR(B20="A",B20="C"),B100-B101,B100)</f>
        <v>8996812</v>
      </c>
      <c r="C102" s="332">
        <f t="shared" si="44"/>
        <v>11844823</v>
      </c>
      <c r="D102" s="332">
        <f t="shared" si="44"/>
        <v>14088750</v>
      </c>
      <c r="E102" s="332">
        <f t="shared" si="44"/>
        <v>11949701</v>
      </c>
      <c r="F102" s="332">
        <f t="shared" si="44"/>
        <v>16657534</v>
      </c>
      <c r="G102" s="332">
        <f t="shared" si="44"/>
        <v>29006250</v>
      </c>
      <c r="H102" s="332">
        <f t="shared" si="44"/>
        <v>203724574</v>
      </c>
      <c r="I102" s="332">
        <f t="shared" si="44"/>
        <v>90499500</v>
      </c>
      <c r="J102" s="332">
        <f t="shared" si="44"/>
        <v>67954000</v>
      </c>
      <c r="K102" s="332">
        <f t="shared" si="44"/>
        <v>13000000</v>
      </c>
      <c r="L102" s="332">
        <f t="shared" si="44"/>
        <v>10292500</v>
      </c>
      <c r="M102" s="332">
        <f t="shared" si="44"/>
        <v>11711550</v>
      </c>
      <c r="N102" s="332">
        <f t="shared" si="44"/>
        <v>19800650</v>
      </c>
      <c r="O102" s="400">
        <f t="shared" si="44"/>
        <v>4500000</v>
      </c>
      <c r="P102" s="346">
        <f t="shared" si="38"/>
        <v>514026644</v>
      </c>
      <c r="Q102"/>
      <c r="R102"/>
      <c r="S102"/>
      <c r="T102"/>
      <c r="U102"/>
      <c r="AD102" s="293"/>
      <c r="AE102"/>
    </row>
    <row r="103" spans="1:32" s="5" customFormat="1">
      <c r="A103" s="445" t="s">
        <v>903</v>
      </c>
      <c r="B103" s="332">
        <f t="shared" ref="B103:O103" si="45">IF(OR(B20="A",B20="C"),MAX(B102-B23-B22*B21,0),B102)</f>
        <v>0</v>
      </c>
      <c r="C103" s="332">
        <f t="shared" si="45"/>
        <v>0</v>
      </c>
      <c r="D103" s="332">
        <f t="shared" si="45"/>
        <v>5088750</v>
      </c>
      <c r="E103" s="332">
        <f t="shared" si="45"/>
        <v>11949701</v>
      </c>
      <c r="F103" s="332">
        <f t="shared" si="45"/>
        <v>16657534</v>
      </c>
      <c r="G103" s="332">
        <f t="shared" si="45"/>
        <v>20006250</v>
      </c>
      <c r="H103" s="332">
        <f t="shared" si="45"/>
        <v>203724574</v>
      </c>
      <c r="I103" s="332">
        <f t="shared" si="45"/>
        <v>90499500</v>
      </c>
      <c r="J103" s="332">
        <f t="shared" si="45"/>
        <v>58954000</v>
      </c>
      <c r="K103" s="332">
        <f t="shared" si="45"/>
        <v>4000000</v>
      </c>
      <c r="L103" s="332">
        <f t="shared" si="45"/>
        <v>1292500</v>
      </c>
      <c r="M103" s="332">
        <f t="shared" si="45"/>
        <v>2711550</v>
      </c>
      <c r="N103" s="332">
        <f t="shared" si="45"/>
        <v>10800650</v>
      </c>
      <c r="O103" s="400">
        <f t="shared" si="45"/>
        <v>4500000</v>
      </c>
      <c r="P103" s="346">
        <f t="shared" si="38"/>
        <v>430185009</v>
      </c>
      <c r="Q103"/>
      <c r="R103"/>
      <c r="S103"/>
      <c r="T103"/>
      <c r="U103"/>
      <c r="AD103" s="293"/>
      <c r="AE103"/>
    </row>
    <row r="104" spans="1:32" s="5" customFormat="1">
      <c r="A104" s="445" t="s">
        <v>906</v>
      </c>
      <c r="B104" s="332">
        <f>IF(OR(B20="A",B20="C"),ROUND(MAX(B103*{5;10;15;20;25;30;35}%-{0;0.25;0.75;1.65;3.25;5.85;9.85}*1000000,0),0),IF(B20="B",IF(B103&lt;2000000,0,ROUND(B103*10%,0)),ROUND(B103*20%,0)))</f>
        <v>0</v>
      </c>
      <c r="C104" s="332">
        <f>IF(OR(C20="A",C20="C"),ROUND(MAX(C103*{5;10;15;20;25;30;35}%-{0;0.25;0.75;1.65;3.25;5.85;9.85}*1000000,0),0),IF(C20="B",IF(C103&lt;2000000,0,ROUND(C103*10%,0)),ROUND(C103*20%,0)))</f>
        <v>0</v>
      </c>
      <c r="D104" s="332">
        <f>IF(OR(D20="A",D20="C"),ROUND(MAX(D103*{5;10;15;20;25;30;35}%-{0;0.25;0.75;1.65;3.25;5.85;9.85}*1000000,0),0),IF(D20="B",IF(D103&lt;2000000,0,ROUND(D103*10%,0)),ROUND(D103*20%,0)))</f>
        <v>258875</v>
      </c>
      <c r="E104" s="332">
        <f>IF(OR(E20="A",E20="C"),ROUND(MAX(E103*{5;10;15;20;25;30;35}%-{0;0.25;0.75;1.65;3.25;5.85;9.85}*1000000,0),0),IF(E20="B",IF(E103&lt;2000000,0,ROUND(E103*10%,0)),ROUND(E103*20%,0)))</f>
        <v>1194970</v>
      </c>
      <c r="F104" s="332">
        <f>IF(OR(F20="A",F20="C"),ROUND(MAX(F103*{5;10;15;20;25;30;35}%-{0;0.25;0.75;1.65;3.25;5.85;9.85}*1000000,0),0),IF(F20="B",IF(F103&lt;2000000,0,ROUND(F103*10%,0)),ROUND(F103*20%,0)))</f>
        <v>1665753</v>
      </c>
      <c r="G104" s="332">
        <f>IF(OR(G20="A",G20="C"),ROUND(MAX(G103*{5;10;15;20;25;30;35}%-{0;0.25;0.75;1.65;3.25;5.85;9.85}*1000000,0),0),IF(G20="B",IF(G103&lt;2000000,0,ROUND(G103*10%,0)),ROUND(G103*20%,0)))</f>
        <v>2351250</v>
      </c>
      <c r="H104" s="332">
        <f>IF(OR(H20="A",H20="C"),ROUND(MAX(H103*{5;10;15;20;25;30;35}%-{0;0.25;0.75;1.65;3.25;5.85;9.85}*1000000,0),0),IF(H20="B",IF(H103&lt;2000000,0,ROUND(H103*10%,0)),ROUND(H103*20%,0)))</f>
        <v>40744915</v>
      </c>
      <c r="I104" s="332">
        <f>IF(OR(I20="A",I20="C"),ROUND(MAX(I103*{5;10;15;20;25;30;35}%-{0;0.25;0.75;1.65;3.25;5.85;9.85}*1000000,0),0),IF(I20="B",IF(I103&lt;2000000,0,ROUND(I103*10%,0)),ROUND(I103*20%,0)))</f>
        <v>18099900</v>
      </c>
      <c r="J104" s="332">
        <f>IF(OR(J20="A",J20="C"),ROUND(MAX(J103*{5;10;15;20;25;30;35}%-{0;0.25;0.75;1.65;3.25;5.85;9.85}*1000000,0),0),IF(J20="B",IF(J103&lt;2000000,0,ROUND(J103*10%,0)),ROUND(J103*20%,0)))</f>
        <v>11836200</v>
      </c>
      <c r="K104" s="332">
        <f>IF(OR(K20="A",K20="C"),ROUND(MAX(K103*{5;10;15;20;25;30;35}%-{0;0.25;0.75;1.65;3.25;5.85;9.85}*1000000,0),0),IF(K20="B",IF(K103&lt;2000000,0,ROUND(K103*10%,0)),ROUND(K103*20%,0)))</f>
        <v>200000</v>
      </c>
      <c r="L104" s="332">
        <f>IF(OR(L20="A",L20="C"),ROUND(MAX(L103*{5;10;15;20;25;30;35}%-{0;0.25;0.75;1.65;3.25;5.85;9.85}*1000000,0),0),IF(L20="B",IF(L103&lt;2000000,0,ROUND(L103*10%,0)),ROUND(L103*20%,0)))</f>
        <v>64625</v>
      </c>
      <c r="M104" s="332">
        <f>IF(OR(M20="A",M20="C"),ROUND(MAX(M103*{5;10;15;20;25;30;35}%-{0;0.25;0.75;1.65;3.25;5.85;9.85}*1000000,0),0),IF(M20="B",IF(M103&lt;2000000,0,ROUND(M103*10%,0)),ROUND(M103*20%,0)))</f>
        <v>135578</v>
      </c>
      <c r="N104" s="332">
        <f>IF(OR(N20="A",N20="C"),ROUND(MAX(N103*{5;10;15;20;25;30;35}%-{0;0.25;0.75;1.65;3.25;5.85;9.85}*1000000,0),0),IF(N20="B",IF(N103&lt;2000000,0,ROUND(N103*10%,0)),ROUND(N103*20%,0)))</f>
        <v>870098</v>
      </c>
      <c r="O104" s="400">
        <f>IF(OR(O20="A",O20="C"),ROUND(MAX(O103*{5;10;15;20;25;30;35}%-{0;0.25;0.75;1.65;3.25;5.85;9.85}*1000000,0),0),IF(O20="B",IF(O103&lt;2000000,0,ROUND(O103*10%,0)),ROUND(O103*20%,0)))</f>
        <v>450000</v>
      </c>
      <c r="P104" s="346">
        <f t="shared" si="38"/>
        <v>77872164</v>
      </c>
      <c r="Q104"/>
      <c r="R104"/>
      <c r="S104"/>
      <c r="T104"/>
      <c r="U104"/>
      <c r="AD104" s="293"/>
      <c r="AE104"/>
    </row>
    <row r="105" spans="1:32" s="5" customFormat="1">
      <c r="A105" s="445" t="s">
        <v>922</v>
      </c>
      <c r="B105" s="332">
        <f>B100+'UAT10-Oct'!B130</f>
        <v>139321257</v>
      </c>
      <c r="C105" s="332">
        <f>C100+'UAT10-Oct'!C130</f>
        <v>124386758</v>
      </c>
      <c r="D105" s="332">
        <f>D100+'UAT10-Oct'!D130</f>
        <v>95915899</v>
      </c>
      <c r="E105" s="332">
        <f>E100+'UAT10-Oct'!E130</f>
        <v>180124065</v>
      </c>
      <c r="F105" s="332">
        <f>F100+'UAT10-Oct'!F130</f>
        <v>200129896</v>
      </c>
      <c r="G105" s="332">
        <f>G100+'UAT10-Oct'!G130</f>
        <v>458298750</v>
      </c>
      <c r="H105" s="332">
        <f>H100+'UAT10-Oct'!H130</f>
        <v>1646839563</v>
      </c>
      <c r="I105" s="332">
        <f>I100+'UAT10-Oct'!I130</f>
        <v>1101885690.8621001</v>
      </c>
      <c r="J105" s="332">
        <f>J100+'UAT10-Oct'!J130</f>
        <v>703725262</v>
      </c>
      <c r="K105" s="332">
        <f>K100+'UAT10-Oct'!K130</f>
        <v>155257728</v>
      </c>
      <c r="L105" s="332">
        <f>L100+'UAT10-Oct'!L130</f>
        <v>514089353</v>
      </c>
      <c r="M105" s="332">
        <f>M100+'UAT10-Oct'!M130</f>
        <v>106258160</v>
      </c>
      <c r="N105" s="332">
        <f>N100+'UAT10-Oct'!N130</f>
        <v>108300340</v>
      </c>
      <c r="O105" s="332">
        <f>O100+'UAT10-Oct'!O130</f>
        <v>50000000</v>
      </c>
      <c r="P105" s="346">
        <f t="shared" si="38"/>
        <v>5584532721.8621006</v>
      </c>
      <c r="Q105"/>
      <c r="R105"/>
      <c r="S105"/>
      <c r="T105"/>
      <c r="U105"/>
      <c r="AD105" s="293"/>
      <c r="AE105" s="81"/>
      <c r="AF105" s="80"/>
    </row>
    <row r="106" spans="1:32">
      <c r="A106" s="445" t="s">
        <v>488</v>
      </c>
      <c r="B106" s="332">
        <f>B104+'UAT10-Oct'!B131</f>
        <v>2113683</v>
      </c>
      <c r="C106" s="332">
        <f>C104+'UAT10-Oct'!C131</f>
        <v>0</v>
      </c>
      <c r="D106" s="332">
        <f>D104+'UAT10-Oct'!D131</f>
        <v>678875</v>
      </c>
      <c r="E106" s="332">
        <f>E104+'UAT10-Oct'!E131</f>
        <v>19031773</v>
      </c>
      <c r="F106" s="332">
        <f>F104+'UAT10-Oct'!F131</f>
        <v>20012987</v>
      </c>
      <c r="G106" s="332">
        <f>G104+'UAT10-Oct'!G131</f>
        <v>74105125</v>
      </c>
      <c r="H106" s="332">
        <f>H104+'UAT10-Oct'!H131</f>
        <v>329451313</v>
      </c>
      <c r="I106" s="332">
        <f>I104+'UAT10-Oct'!I131</f>
        <v>220460538</v>
      </c>
      <c r="J106" s="332">
        <f>J104+'UAT10-Oct'!J131</f>
        <v>117307529</v>
      </c>
      <c r="K106" s="332">
        <f>K104+'UAT10-Oct'!K131</f>
        <v>5551546</v>
      </c>
      <c r="L106" s="332">
        <f>L104+'UAT10-Oct'!L131</f>
        <v>86224985</v>
      </c>
      <c r="M106" s="332">
        <f>M104+'UAT10-Oct'!M131</f>
        <v>737910</v>
      </c>
      <c r="N106" s="332">
        <f>N104+'UAT10-Oct'!N131</f>
        <v>1183673</v>
      </c>
      <c r="O106" s="400">
        <f>O104+'UAT10-Oct'!O131</f>
        <v>5000000</v>
      </c>
      <c r="P106" s="346">
        <f t="shared" si="38"/>
        <v>881859937</v>
      </c>
      <c r="AD106" s="293"/>
      <c r="AE106" s="81"/>
      <c r="AF106" s="81"/>
    </row>
    <row r="107" spans="1:32">
      <c r="A107" s="445" t="s">
        <v>489</v>
      </c>
      <c r="B107" s="332">
        <f>B101+'UAT10-Oct'!B132</f>
        <v>9292500</v>
      </c>
      <c r="C107" s="332">
        <f>C101+'UAT10-Oct'!C132</f>
        <v>9619050</v>
      </c>
      <c r="D107" s="332">
        <f>D101+'UAT10-Oct'!D132</f>
        <v>1960000</v>
      </c>
      <c r="E107" s="332">
        <f>E101+'UAT10-Oct'!E132</f>
        <v>9712500</v>
      </c>
      <c r="F107" s="332">
        <f>F101+'UAT10-Oct'!F132</f>
        <v>0</v>
      </c>
      <c r="G107" s="332">
        <f>G101+'UAT10-Oct'!G132</f>
        <v>0</v>
      </c>
      <c r="H107" s="332">
        <f>H101+'UAT10-Oct'!H132</f>
        <v>4770000</v>
      </c>
      <c r="I107" s="332">
        <f>I101+'UAT10-Oct'!I132</f>
        <v>5247000</v>
      </c>
      <c r="J107" s="332">
        <f>J101+'UAT10-Oct'!J132</f>
        <v>38424000</v>
      </c>
      <c r="K107" s="332">
        <f>K101+'UAT10-Oct'!K132</f>
        <v>0</v>
      </c>
      <c r="L107" s="332">
        <f>L101+'UAT10-Oct'!L132</f>
        <v>29471000</v>
      </c>
      <c r="M107" s="332">
        <f>M101+'UAT10-Oct'!M132</f>
        <v>0</v>
      </c>
      <c r="N107" s="332">
        <f>N101+'UAT10-Oct'!N132</f>
        <v>0</v>
      </c>
      <c r="O107" s="400">
        <f>O101+'UAT10-Oct'!O132</f>
        <v>0</v>
      </c>
      <c r="P107" s="346">
        <f t="shared" si="38"/>
        <v>108496050</v>
      </c>
      <c r="AD107" s="293"/>
      <c r="AE107" s="81"/>
      <c r="AF107" s="81"/>
    </row>
    <row r="108" spans="1:32">
      <c r="A108" s="445"/>
      <c r="B108" s="332"/>
      <c r="C108" s="332"/>
      <c r="D108" s="332"/>
      <c r="E108" s="332"/>
      <c r="F108" s="332"/>
      <c r="G108" s="332"/>
      <c r="H108" s="332"/>
      <c r="I108" s="332"/>
      <c r="J108" s="332"/>
      <c r="K108" s="332"/>
      <c r="L108" s="332"/>
      <c r="M108" s="332"/>
      <c r="N108" s="332"/>
      <c r="O108" s="400"/>
      <c r="P108" s="557"/>
      <c r="AD108" s="293"/>
      <c r="AE108" s="81"/>
      <c r="AF108" s="81"/>
    </row>
    <row r="109" spans="1:32" ht="15.6">
      <c r="A109" s="411" t="s">
        <v>979</v>
      </c>
      <c r="B109" s="332"/>
      <c r="C109" s="332"/>
      <c r="D109" s="332"/>
      <c r="E109" s="332"/>
      <c r="F109" s="332"/>
      <c r="G109" s="332"/>
      <c r="H109" s="332"/>
      <c r="I109" s="332"/>
      <c r="J109" s="332"/>
      <c r="K109" s="332"/>
      <c r="L109" s="332"/>
      <c r="M109" s="332"/>
      <c r="N109" s="332"/>
      <c r="O109" s="400"/>
      <c r="P109" s="346"/>
      <c r="AD109" s="293"/>
      <c r="AE109" s="81"/>
      <c r="AF109" s="81"/>
    </row>
    <row r="110" spans="1:32">
      <c r="A110" s="445" t="s">
        <v>912</v>
      </c>
      <c r="B110" s="332">
        <f t="shared" ref="B110:O110" si="46">B103-B104+B35</f>
        <v>0</v>
      </c>
      <c r="C110" s="332">
        <f t="shared" si="46"/>
        <v>14902500</v>
      </c>
      <c r="D110" s="332">
        <f t="shared" si="46"/>
        <v>4829875</v>
      </c>
      <c r="E110" s="332">
        <f t="shared" si="46"/>
        <v>10754731</v>
      </c>
      <c r="F110" s="332">
        <f t="shared" si="46"/>
        <v>14991781</v>
      </c>
      <c r="G110" s="332">
        <f t="shared" si="46"/>
        <v>17655000</v>
      </c>
      <c r="H110" s="332">
        <f t="shared" si="46"/>
        <v>162979659</v>
      </c>
      <c r="I110" s="332">
        <f t="shared" si="46"/>
        <v>72399600</v>
      </c>
      <c r="J110" s="332">
        <f t="shared" si="46"/>
        <v>47117800</v>
      </c>
      <c r="K110" s="332">
        <f t="shared" si="46"/>
        <v>3800000</v>
      </c>
      <c r="L110" s="332">
        <f t="shared" si="46"/>
        <v>1227875</v>
      </c>
      <c r="M110" s="332">
        <f t="shared" si="46"/>
        <v>2575972</v>
      </c>
      <c r="N110" s="332">
        <f t="shared" si="46"/>
        <v>9930552</v>
      </c>
      <c r="O110" s="400">
        <f t="shared" si="46"/>
        <v>4050000</v>
      </c>
      <c r="P110" s="346">
        <f t="shared" ref="P110:P114" si="47">SUM(B110:O110)</f>
        <v>367215345</v>
      </c>
      <c r="AD110" s="293"/>
      <c r="AE110" s="81"/>
      <c r="AF110" s="81"/>
    </row>
    <row r="111" spans="1:32">
      <c r="A111" s="445" t="s">
        <v>913</v>
      </c>
      <c r="B111" s="332">
        <f>IF(OR(B20="A",B20="C"),ROUND(MAX((B110-{0;0.25;0.75;1.65;3.25;5.85;9.85}*1000000)/(1-{5;10;15;20;25;30;35}%),0),0),IF(B20="B",B110/(1-10%),B110/(1-20%)))</f>
        <v>0</v>
      </c>
      <c r="C111" s="332">
        <f>IF(OR(C20="A",C20="C"),ROUND(MAX((C110-{0;0.25;0.75;1.65;3.25;5.85;9.85}*1000000)/(1-{5;10;15;20;25;30;35}%),0),0),IF(C20="B",C110/(1-10%),C110/(1-20%)))</f>
        <v>16650000</v>
      </c>
      <c r="D111" s="332">
        <f>IF(OR(D20="A",D20="C"),ROUND(MAX((D110-{0;0.25;0.75;1.65;3.25;5.85;9.85}*1000000)/(1-{5;10;15;20;25;30;35}%),0),0),IF(D20="B",D110/(1-10%),D110/(1-20%)))</f>
        <v>5088750</v>
      </c>
      <c r="E111" s="332">
        <f>IF(OR(E20="A",E20="C"),ROUND(MAX((E110-{0;0.25;0.75;1.65;3.25;5.85;9.85}*1000000)/(1-{5;10;15;20;25;30;35}%),0),0),IF(E20="B",E110/(1-10%),E110/(1-20%)))</f>
        <v>11949701.11111111</v>
      </c>
      <c r="F111" s="332">
        <f>IF(OR(F20="A",F20="C"),ROUND(MAX((F110-{0;0.25;0.75;1.65;3.25;5.85;9.85}*1000000)/(1-{5;10;15;20;25;30;35}%),0),0),IF(F20="B",F110/(1-10%),F110/(1-20%)))</f>
        <v>16657534.444444444</v>
      </c>
      <c r="G111" s="332">
        <f>IF(OR(G20="A",G20="C"),ROUND(MAX((G110-{0;0.25;0.75;1.65;3.25;5.85;9.85}*1000000)/(1-{5;10;15;20;25;30;35}%),0),0),IF(G20="B",G110/(1-10%),G110/(1-20%)))</f>
        <v>20006250</v>
      </c>
      <c r="H111" s="332">
        <f>IF(OR(H20="A",H20="C"),ROUND(MAX((H110-{0;0.25;0.75;1.65;3.25;5.85;9.85}*1000000)/(1-{5;10;15;20;25;30;35}%),0),0),IF(H20="B",H110/(1-10%),H110/(1-20%)))</f>
        <v>203724573.75</v>
      </c>
      <c r="I111" s="332">
        <f>IF(OR(I20="A",I20="C"),ROUND(MAX((I110-{0;0.25;0.75;1.65;3.25;5.85;9.85}*1000000)/(1-{5;10;15;20;25;30;35}%),0),0),IF(I20="B",I110/(1-10%),I110/(1-20%)))</f>
        <v>90499500</v>
      </c>
      <c r="J111" s="332">
        <f>IF(OR(J20="A",J20="C"),ROUND(MAX((J110-{0;0.25;0.75;1.65;3.25;5.85;9.85}*1000000)/(1-{5;10;15;20;25;30;35}%),0),0),IF(J20="B",J110/(1-10%),J110/(1-20%)))</f>
        <v>58954000</v>
      </c>
      <c r="K111" s="332">
        <f>IF(OR(K20="A",K20="C"),ROUND(MAX((K110-{0;0.25;0.75;1.65;3.25;5.85;9.85}*1000000)/(1-{5;10;15;20;25;30;35}%),0),0),IF(K20="B",K110/(1-10%),K110/(1-20%)))</f>
        <v>4000000</v>
      </c>
      <c r="L111" s="332">
        <f>IF(OR(L20="A",L20="C"),ROUND(MAX((L110-{0;0.25;0.75;1.65;3.25;5.85;9.85}*1000000)/(1-{5;10;15;20;25;30;35}%),0),0),IF(L20="B",L110/(1-10%),L110/(1-20%)))</f>
        <v>1292500</v>
      </c>
      <c r="M111" s="332">
        <f>IF(OR(M20="A",M20="C"),ROUND(MAX((M110-{0;0.25;0.75;1.65;3.25;5.85;9.85}*1000000)/(1-{5;10;15;20;25;30;35}%),0),0),IF(M20="B",M110/(1-10%),M110/(1-20%)))</f>
        <v>2711549</v>
      </c>
      <c r="N111" s="332">
        <f>IF(OR(N20="A",N20="C"),ROUND(MAX((N110-{0;0.25;0.75;1.65;3.25;5.85;9.85}*1000000)/(1-{5;10;15;20;25;30;35}%),0),0),IF(N20="B",N110/(1-10%),N110/(1-20%)))</f>
        <v>10800649</v>
      </c>
      <c r="O111" s="400">
        <f>IF(OR(O20="A",O20="C"),ROUND(MAX((O110-{0;0.25;0.75;1.65;3.25;5.85;9.85}*1000000)/(1-{5;10;15;20;25;30;35}%),0),0),IF(O20="B",O110/(1-10%),O110/(1-20%)))</f>
        <v>4500000</v>
      </c>
      <c r="P111" s="346">
        <f t="shared" si="47"/>
        <v>446835007.30555558</v>
      </c>
      <c r="AD111" s="293"/>
      <c r="AE111" s="81"/>
      <c r="AF111" s="81"/>
    </row>
    <row r="112" spans="1:32">
      <c r="A112" s="445" t="s">
        <v>914</v>
      </c>
      <c r="B112" s="332">
        <f t="shared" ref="B112:O112" si="48">IF(OR(B20="A",B20="C"),IF(B111=0,0,B111+B101+B22*B21+B23),B111)</f>
        <v>0</v>
      </c>
      <c r="C112" s="332">
        <f t="shared" si="48"/>
        <v>40896300</v>
      </c>
      <c r="D112" s="332">
        <f t="shared" si="48"/>
        <v>14450000</v>
      </c>
      <c r="E112" s="332">
        <f t="shared" si="48"/>
        <v>11949701.11111111</v>
      </c>
      <c r="F112" s="332">
        <f t="shared" si="48"/>
        <v>16657534.444444444</v>
      </c>
      <c r="G112" s="332">
        <f t="shared" si="48"/>
        <v>29006250</v>
      </c>
      <c r="H112" s="332">
        <f t="shared" si="48"/>
        <v>203724573.75</v>
      </c>
      <c r="I112" s="332">
        <f t="shared" si="48"/>
        <v>90499500</v>
      </c>
      <c r="J112" s="332">
        <f t="shared" si="48"/>
        <v>71500000</v>
      </c>
      <c r="K112" s="332">
        <f t="shared" si="48"/>
        <v>13000000</v>
      </c>
      <c r="L112" s="332">
        <f t="shared" si="48"/>
        <v>11500000</v>
      </c>
      <c r="M112" s="332">
        <f t="shared" si="48"/>
        <v>11711549</v>
      </c>
      <c r="N112" s="332">
        <f t="shared" si="48"/>
        <v>19800649</v>
      </c>
      <c r="O112" s="400">
        <f t="shared" si="48"/>
        <v>4500000</v>
      </c>
      <c r="P112" s="346">
        <f t="shared" si="47"/>
        <v>539196057.30555558</v>
      </c>
      <c r="AD112" s="293"/>
      <c r="AE112" s="81"/>
      <c r="AF112" s="81"/>
    </row>
    <row r="113" spans="1:32">
      <c r="A113" s="445" t="s">
        <v>487</v>
      </c>
      <c r="B113" s="332">
        <f>IF(OR(B20="A",B20="C"),ROUND(MAX(B111*{5;10;15;20;25;30;35}%-{0;0.25;0.75;1.65;3.25;5.85;9.85}*1000000,0),0),IF(B20="B",IF(B111&lt;2000000,0,ROUND(B111*10%,0)),ROUND(B111*20%,0)))</f>
        <v>0</v>
      </c>
      <c r="C113" s="332">
        <f>IF(OR(C20="A",C20="C"),ROUND(MAX(C111*{5;10;15;20;25;30;35}%-{0;0.25;0.75;1.65;3.25;5.85;9.85}*1000000,0),0),IF(C20="B",IF(C111&lt;2000000,0,ROUND(C111*10%,0)),ROUND(C111*20%,0)))</f>
        <v>1747500</v>
      </c>
      <c r="D113" s="332">
        <f>IF(OR(D20="A",D20="C"),ROUND(MAX(D111*{5;10;15;20;25;30;35}%-{0;0.25;0.75;1.65;3.25;5.85;9.85}*1000000,0),0),IF(D20="B",IF(D111&lt;2000000,0,ROUND(D111*10%,0)),ROUND(D111*20%,0)))</f>
        <v>258875</v>
      </c>
      <c r="E113" s="332">
        <f>IF(OR(E20="A",E20="C"),ROUND(MAX(E111*{5;10;15;20;25;30;35}%-{0;0.25;0.75;1.65;3.25;5.85;9.85}*1000000,0),0),IF(E20="B",IF(E111&lt;2000000,0,ROUND(E111*10%,0)),ROUND(E111*20%,0)))</f>
        <v>1194970</v>
      </c>
      <c r="F113" s="332">
        <f>IF(OR(F20="A",F20="C"),ROUND(MAX(F111*{5;10;15;20;25;30;35}%-{0;0.25;0.75;1.65;3.25;5.85;9.85}*1000000,0),0),IF(F20="B",IF(F111&lt;2000000,0,ROUND(F111*10%,0)),ROUND(F111*20%,0)))</f>
        <v>1665753</v>
      </c>
      <c r="G113" s="332">
        <f>IF(OR(G20="A",G20="C"),ROUND(MAX(G111*{5;10;15;20;25;30;35}%-{0;0.25;0.75;1.65;3.25;5.85;9.85}*1000000,0),0),IF(G20="B",IF(G111&lt;2000000,0,ROUND(G111*10%,0)),ROUND(G111*20%,0)))</f>
        <v>2351250</v>
      </c>
      <c r="H113" s="332">
        <f>IF(OR(H20="A",H20="C"),ROUND(MAX(H111*{5;10;15;20;25;30;35}%-{0;0.25;0.75;1.65;3.25;5.85;9.85}*1000000,0),0),IF(H20="B",IF(H111&lt;2000000,0,ROUND(H111*10%,0)),ROUND(H111*20%,0)))</f>
        <v>40744915</v>
      </c>
      <c r="I113" s="332">
        <f>IF(OR(I20="A",I20="C"),ROUND(MAX(I111*{5;10;15;20;25;30;35}%-{0;0.25;0.75;1.65;3.25;5.85;9.85}*1000000,0),0),IF(I20="B",IF(I111&lt;2000000,0,ROUND(I111*10%,0)),ROUND(I111*20%,0)))</f>
        <v>18099900</v>
      </c>
      <c r="J113" s="332">
        <f>IF(OR(J20="A",J20="C"),ROUND(MAX(J111*{5;10;15;20;25;30;35}%-{0;0.25;0.75;1.65;3.25;5.85;9.85}*1000000,0),0),IF(J20="B",IF(J111&lt;2000000,0,ROUND(J111*10%,0)),ROUND(J111*20%,0)))</f>
        <v>11836200</v>
      </c>
      <c r="K113" s="332">
        <f>IF(OR(K20="A",K20="C"),ROUND(MAX(K111*{5;10;15;20;25;30;35}%-{0;0.25;0.75;1.65;3.25;5.85;9.85}*1000000,0),0),IF(K20="B",IF(K111&lt;2000000,0,ROUND(K111*10%,0)),ROUND(K111*20%,0)))</f>
        <v>200000</v>
      </c>
      <c r="L113" s="332">
        <f>IF(OR(L20="A",L20="C"),ROUND(MAX(L111*{5;10;15;20;25;30;35}%-{0;0.25;0.75;1.65;3.25;5.85;9.85}*1000000,0),0),IF(L20="B",IF(L111&lt;2000000,0,ROUND(L111*10%,0)),ROUND(L111*20%,0)))</f>
        <v>64625</v>
      </c>
      <c r="M113" s="332">
        <f>IF(OR(M20="A",M20="C"),ROUND(MAX(M111*{5;10;15;20;25;30;35}%-{0;0.25;0.75;1.65;3.25;5.85;9.85}*1000000,0),0),IF(M20="B",IF(M111&lt;2000000,0,ROUND(M111*10%,0)),ROUND(M111*20%,0)))</f>
        <v>135577</v>
      </c>
      <c r="N113" s="332">
        <f>IF(OR(N20="A",N20="C"),ROUND(MAX(N111*{5;10;15;20;25;30;35}%-{0;0.25;0.75;1.65;3.25;5.85;9.85}*1000000,0),0),IF(N20="B",IF(N111&lt;2000000,0,ROUND(N111*10%,0)),ROUND(N111*20%,0)))</f>
        <v>870097</v>
      </c>
      <c r="O113" s="400">
        <f>IF(OR(O20="A",O20="C"),ROUND(MAX(O111*{5;10;15;20;25;30;35}%-{0;0.25;0.75;1.65;3.25;5.85;9.85}*1000000,0),0),IF(O20="B",IF(O111&lt;2000000,0,ROUND(O111*10%,0)),ROUND(O111*20%,0)))</f>
        <v>450000</v>
      </c>
      <c r="P113" s="346">
        <f t="shared" si="47"/>
        <v>79619662</v>
      </c>
      <c r="AD113" s="293"/>
      <c r="AE113" s="81"/>
      <c r="AF113" s="81"/>
    </row>
    <row r="114" spans="1:32">
      <c r="A114" s="445" t="s">
        <v>905</v>
      </c>
      <c r="B114" s="332">
        <f t="shared" ref="B114:O114" si="49">B113-B104</f>
        <v>0</v>
      </c>
      <c r="C114" s="332">
        <f t="shared" si="49"/>
        <v>1747500</v>
      </c>
      <c r="D114" s="332">
        <f t="shared" si="49"/>
        <v>0</v>
      </c>
      <c r="E114" s="332">
        <f t="shared" si="49"/>
        <v>0</v>
      </c>
      <c r="F114" s="332">
        <f t="shared" si="49"/>
        <v>0</v>
      </c>
      <c r="G114" s="332">
        <f t="shared" si="49"/>
        <v>0</v>
      </c>
      <c r="H114" s="332">
        <f t="shared" si="49"/>
        <v>0</v>
      </c>
      <c r="I114" s="332">
        <f t="shared" si="49"/>
        <v>0</v>
      </c>
      <c r="J114" s="332">
        <f t="shared" si="49"/>
        <v>0</v>
      </c>
      <c r="K114" s="332">
        <f t="shared" si="49"/>
        <v>0</v>
      </c>
      <c r="L114" s="332">
        <f t="shared" si="49"/>
        <v>0</v>
      </c>
      <c r="M114" s="332">
        <v>0</v>
      </c>
      <c r="N114" s="332">
        <f t="shared" si="49"/>
        <v>-1</v>
      </c>
      <c r="O114" s="400">
        <f t="shared" si="49"/>
        <v>0</v>
      </c>
      <c r="P114" s="346">
        <f t="shared" si="47"/>
        <v>1747499</v>
      </c>
      <c r="AD114" s="293"/>
      <c r="AE114" s="81"/>
      <c r="AF114" s="81"/>
    </row>
    <row r="115" spans="1:32">
      <c r="A115" s="445"/>
      <c r="B115" s="332"/>
      <c r="C115" s="332"/>
      <c r="D115" s="332"/>
      <c r="E115" s="332"/>
      <c r="F115" s="332"/>
      <c r="G115" s="332"/>
      <c r="H115" s="332"/>
      <c r="I115" s="332"/>
      <c r="J115" s="332"/>
      <c r="K115" s="332"/>
      <c r="L115" s="332"/>
      <c r="M115" s="332"/>
      <c r="N115" s="332"/>
      <c r="O115" s="400"/>
      <c r="P115" s="346"/>
      <c r="AD115" s="293"/>
      <c r="AE115" s="81"/>
      <c r="AF115" s="81"/>
    </row>
    <row r="116" spans="1:32" ht="15.6">
      <c r="A116" s="411" t="s">
        <v>825</v>
      </c>
      <c r="B116" s="14"/>
      <c r="C116" s="7"/>
      <c r="D116" s="7"/>
      <c r="E116" s="322"/>
      <c r="F116" s="7"/>
      <c r="G116" s="7"/>
      <c r="H116" s="7"/>
      <c r="I116" s="7"/>
      <c r="J116" s="7"/>
      <c r="K116" s="322"/>
      <c r="L116" s="322"/>
      <c r="M116" s="322"/>
      <c r="N116" s="322"/>
      <c r="O116" s="381"/>
      <c r="P116" s="557"/>
      <c r="AD116" s="293"/>
      <c r="AE116" s="81"/>
      <c r="AF116" s="81"/>
    </row>
    <row r="117" spans="1:32" s="160" customFormat="1">
      <c r="A117" s="445" t="s">
        <v>432</v>
      </c>
      <c r="B117" s="549">
        <f>'UAT10-Oct'!B150</f>
        <v>150</v>
      </c>
      <c r="C117" s="549">
        <f>'UAT10-Oct'!C150</f>
        <v>68</v>
      </c>
      <c r="D117" s="549">
        <f>'UAT10-Oct'!D150</f>
        <v>40</v>
      </c>
      <c r="E117" s="549">
        <f>'UAT10-Oct'!E150</f>
        <v>160</v>
      </c>
      <c r="F117" s="549">
        <f>'UAT10-Oct'!F150</f>
        <v>128</v>
      </c>
      <c r="G117" s="549">
        <f>'UAT10-Oct'!G150</f>
        <v>0</v>
      </c>
      <c r="H117" s="549">
        <f>'UAT10-Oct'!H150</f>
        <v>80</v>
      </c>
      <c r="I117" s="549">
        <f>'UAT10-Oct'!I150</f>
        <v>0</v>
      </c>
      <c r="J117" s="549">
        <f>'UAT10-Oct'!J150</f>
        <v>44</v>
      </c>
      <c r="K117" s="549">
        <f>'UAT10-Oct'!K150</f>
        <v>160</v>
      </c>
      <c r="L117" s="549">
        <f>'UAT10-Oct'!L150</f>
        <v>160</v>
      </c>
      <c r="M117" s="549">
        <f>'UAT10-Oct'!M150</f>
        <v>155</v>
      </c>
      <c r="N117" s="549">
        <f>'UAT10-Oct'!N150</f>
        <v>155</v>
      </c>
      <c r="O117" s="550">
        <f>'UAT10-Oct'!O150</f>
        <v>0</v>
      </c>
      <c r="P117" s="557">
        <f t="shared" si="38"/>
        <v>1300</v>
      </c>
      <c r="Q117"/>
      <c r="R117"/>
      <c r="S117"/>
      <c r="T117"/>
      <c r="U117"/>
      <c r="V117" s="5"/>
      <c r="W117" s="5"/>
      <c r="X117" s="5"/>
      <c r="Y117" s="5"/>
      <c r="Z117" s="5"/>
      <c r="AA117" s="5"/>
      <c r="AB117" s="5"/>
      <c r="AC117" s="5"/>
      <c r="AD117" s="293"/>
      <c r="AE117" s="81"/>
      <c r="AF117" s="288"/>
    </row>
    <row r="118" spans="1:32">
      <c r="A118" s="445" t="s">
        <v>433</v>
      </c>
      <c r="B118" s="549">
        <f>'UAT10-Oct'!B151</f>
        <v>79</v>
      </c>
      <c r="C118" s="549">
        <f>'UAT10-Oct'!C151</f>
        <v>-44</v>
      </c>
      <c r="D118" s="549">
        <f>'UAT10-Oct'!D151</f>
        <v>20</v>
      </c>
      <c r="E118" s="549">
        <f>'UAT10-Oct'!E151</f>
        <v>80</v>
      </c>
      <c r="F118" s="549">
        <f>'UAT10-Oct'!F151</f>
        <v>64</v>
      </c>
      <c r="G118" s="549">
        <f>'UAT10-Oct'!G151</f>
        <v>0</v>
      </c>
      <c r="H118" s="549">
        <f>'UAT10-Oct'!H151</f>
        <v>40</v>
      </c>
      <c r="I118" s="549">
        <f>'UAT10-Oct'!I151</f>
        <v>0</v>
      </c>
      <c r="J118" s="549">
        <f>'UAT10-Oct'!J151</f>
        <v>22</v>
      </c>
      <c r="K118" s="549">
        <f>'UAT10-Oct'!K151</f>
        <v>80</v>
      </c>
      <c r="L118" s="549">
        <f>'UAT10-Oct'!L151</f>
        <v>80</v>
      </c>
      <c r="M118" s="549">
        <f>'UAT10-Oct'!M151</f>
        <v>77</v>
      </c>
      <c r="N118" s="549">
        <f>'UAT10-Oct'!N151</f>
        <v>77</v>
      </c>
      <c r="O118" s="550">
        <f>'UAT10-Oct'!O151</f>
        <v>0</v>
      </c>
      <c r="P118" s="557">
        <f t="shared" si="38"/>
        <v>575</v>
      </c>
      <c r="AD118" s="293"/>
      <c r="AE118" s="288"/>
      <c r="AF118" s="81"/>
    </row>
    <row r="119" spans="1:32">
      <c r="A119" s="445" t="s">
        <v>434</v>
      </c>
      <c r="B119" s="555">
        <f>'UAT10-Oct'!B152</f>
        <v>0</v>
      </c>
      <c r="C119" s="555">
        <f>'UAT10-Oct'!C152</f>
        <v>23.21</v>
      </c>
      <c r="D119" s="555">
        <f>'UAT10-Oct'!D152</f>
        <v>0</v>
      </c>
      <c r="E119" s="555">
        <f>'UAT10-Oct'!E152</f>
        <v>0</v>
      </c>
      <c r="F119" s="555">
        <f>'UAT10-Oct'!F152</f>
        <v>22.01</v>
      </c>
      <c r="G119" s="555">
        <f>'UAT10-Oct'!G152</f>
        <v>0</v>
      </c>
      <c r="H119" s="555">
        <f>'UAT10-Oct'!H152</f>
        <v>0</v>
      </c>
      <c r="I119" s="555">
        <f>'UAT10-Oct'!I152</f>
        <v>0</v>
      </c>
      <c r="J119" s="555">
        <f>'UAT10-Oct'!J152</f>
        <v>0</v>
      </c>
      <c r="K119" s="555">
        <f>'UAT10-Oct'!K152</f>
        <v>0</v>
      </c>
      <c r="L119" s="555">
        <f>'UAT10-Oct'!L152</f>
        <v>0</v>
      </c>
      <c r="M119" s="555">
        <f>'UAT10-Oct'!M152</f>
        <v>0</v>
      </c>
      <c r="N119" s="555">
        <f>'UAT10-Oct'!N152</f>
        <v>0</v>
      </c>
      <c r="O119" s="556">
        <f>'UAT10-Oct'!O152</f>
        <v>0</v>
      </c>
      <c r="P119" s="559">
        <f t="shared" si="38"/>
        <v>45.22</v>
      </c>
      <c r="AD119" s="293"/>
      <c r="AE119" s="81"/>
      <c r="AF119" s="81"/>
    </row>
    <row r="120" spans="1:32" s="5" customFormat="1">
      <c r="A120" s="445" t="s">
        <v>435</v>
      </c>
      <c r="B120" s="555">
        <f>'UAT10-Oct'!B153</f>
        <v>4.54</v>
      </c>
      <c r="C120" s="555">
        <f>'UAT10-Oct'!C153</f>
        <v>0</v>
      </c>
      <c r="D120" s="555">
        <f>'UAT10-Oct'!D153</f>
        <v>0</v>
      </c>
      <c r="E120" s="555">
        <f>'UAT10-Oct'!E153</f>
        <v>0</v>
      </c>
      <c r="F120" s="555">
        <f>'UAT10-Oct'!F153</f>
        <v>0</v>
      </c>
      <c r="G120" s="555">
        <f>'UAT10-Oct'!G153</f>
        <v>0</v>
      </c>
      <c r="H120" s="555">
        <f>'UAT10-Oct'!H153</f>
        <v>0</v>
      </c>
      <c r="I120" s="555">
        <f>'UAT10-Oct'!I153</f>
        <v>0</v>
      </c>
      <c r="J120" s="555">
        <f>'UAT10-Oct'!J153</f>
        <v>0</v>
      </c>
      <c r="K120" s="555">
        <f>'UAT10-Oct'!K153</f>
        <v>5</v>
      </c>
      <c r="L120" s="555">
        <f>'UAT10-Oct'!L153</f>
        <v>4.5</v>
      </c>
      <c r="M120" s="555">
        <f>'UAT10-Oct'!M153</f>
        <v>0</v>
      </c>
      <c r="N120" s="555">
        <f>'UAT10-Oct'!N153</f>
        <v>0</v>
      </c>
      <c r="O120" s="556">
        <f>'UAT10-Oct'!O153</f>
        <v>0</v>
      </c>
      <c r="P120" s="559">
        <f t="shared" si="38"/>
        <v>14.04</v>
      </c>
      <c r="Q120"/>
      <c r="R120"/>
      <c r="S120"/>
      <c r="T120"/>
      <c r="U120"/>
      <c r="AD120" s="293"/>
      <c r="AE120" s="81"/>
      <c r="AF120" s="80"/>
    </row>
    <row r="121" spans="1:32" s="5" customFormat="1">
      <c r="A121" s="445" t="s">
        <v>436</v>
      </c>
      <c r="B121" s="555">
        <f>'UAT10-Oct'!B154</f>
        <v>13.58</v>
      </c>
      <c r="C121" s="555">
        <f>'UAT10-Oct'!C154</f>
        <v>0</v>
      </c>
      <c r="D121" s="555">
        <f>'UAT10-Oct'!D154</f>
        <v>0</v>
      </c>
      <c r="E121" s="555">
        <f>'UAT10-Oct'!E154</f>
        <v>0</v>
      </c>
      <c r="F121" s="555">
        <f>'UAT10-Oct'!F154</f>
        <v>0</v>
      </c>
      <c r="G121" s="555">
        <f>'UAT10-Oct'!G154</f>
        <v>0</v>
      </c>
      <c r="H121" s="555">
        <f>'UAT10-Oct'!H154</f>
        <v>0</v>
      </c>
      <c r="I121" s="555">
        <f>'UAT10-Oct'!I154</f>
        <v>0</v>
      </c>
      <c r="J121" s="555">
        <f>'UAT10-Oct'!J154</f>
        <v>0</v>
      </c>
      <c r="K121" s="555">
        <f>'UAT10-Oct'!K154</f>
        <v>0</v>
      </c>
      <c r="L121" s="555">
        <f>'UAT10-Oct'!L154</f>
        <v>0</v>
      </c>
      <c r="M121" s="555">
        <f>'UAT10-Oct'!M154</f>
        <v>0</v>
      </c>
      <c r="N121" s="555">
        <f>'UAT10-Oct'!N154</f>
        <v>0</v>
      </c>
      <c r="O121" s="556">
        <f>'UAT10-Oct'!O154</f>
        <v>0</v>
      </c>
      <c r="P121" s="557">
        <f t="shared" si="38"/>
        <v>13.58</v>
      </c>
      <c r="Q121"/>
      <c r="R121"/>
      <c r="S121"/>
      <c r="T121"/>
      <c r="U121"/>
      <c r="AD121" s="293"/>
      <c r="AE121" s="81"/>
      <c r="AF121" s="80"/>
    </row>
    <row r="122" spans="1:32" s="5" customFormat="1">
      <c r="A122" s="445"/>
      <c r="J122"/>
      <c r="K122"/>
      <c r="L122"/>
      <c r="M122"/>
      <c r="N122"/>
      <c r="O122"/>
      <c r="P122" s="347"/>
      <c r="Q122"/>
      <c r="R122"/>
      <c r="S122"/>
      <c r="T122"/>
      <c r="U122"/>
      <c r="AD122" s="293"/>
      <c r="AE122" s="81"/>
      <c r="AF122" s="80"/>
    </row>
    <row r="123" spans="1:32" s="5" customFormat="1" ht="15.6">
      <c r="A123" s="411" t="s">
        <v>437</v>
      </c>
      <c r="F123"/>
      <c r="G123"/>
      <c r="H123"/>
      <c r="I123"/>
      <c r="J123"/>
      <c r="K123"/>
      <c r="L123"/>
      <c r="M123"/>
      <c r="N123"/>
      <c r="O123"/>
      <c r="P123"/>
      <c r="Q123"/>
      <c r="R123"/>
      <c r="S123"/>
      <c r="T123"/>
      <c r="U123"/>
      <c r="AD123" s="293"/>
      <c r="AE123" s="81"/>
      <c r="AF123" s="80"/>
    </row>
    <row r="124" spans="1:32" s="5" customFormat="1">
      <c r="A124" s="6" t="s">
        <v>863</v>
      </c>
      <c r="B124" s="551">
        <f>IF(OR(B12="S",B12="C"),0,IF(OR(B12="1",B12="3"),ROUND(20*8*B18/365,5),ROUND(20*'New Hire'!C24*B18/365,5)))+'UAT10-Oct'!B157</f>
        <v>138.41092999999998</v>
      </c>
      <c r="C124" s="551">
        <f>IF(OR(C12="S",C12="C"),0,IF(OR(C12="1",C12="3"),ROUND(20*8*C18/365,5),ROUND(20*'New Hire'!D24*C18/365,5)))+'UAT10-Oct'!C157</f>
        <v>93.029100000000014</v>
      </c>
      <c r="D124" s="551">
        <f>IF(OR(D12="S",D12="C"),0,IF(OR(D12="1",D12="3"),ROUND(20*8*D18/365,5),ROUND(20*'New Hire'!E24*D18/365,5)))+'UAT10-Oct'!D157</f>
        <v>26.739719999999998</v>
      </c>
      <c r="E124" s="551">
        <f>IF(OR(E12="S",E12="C"),0,IF(OR(E12="1",E12="3"),ROUND(20*8*E18/365,5),ROUND(20*'New Hire'!F24*E18/365,5)))+'UAT10-Oct'!E157</f>
        <v>146.41092999999998</v>
      </c>
      <c r="F124" s="551">
        <f>IF(OR(F12="S",F12="C"),0,IF(OR(F12="1",F12="3"),ROUND(20*8*F18/365,5),ROUND(20*'New Hire'!G24*F18/365,5)))+'UAT10-Oct'!F157</f>
        <v>117.12875999999999</v>
      </c>
      <c r="G124" s="551">
        <f>IF(OR(G12="S",G12="C"),0,IF(OR(G12="1",G12="3"),ROUND(20*8*G18/365,5),ROUND(20*'New Hire'!H24*G18/365,5)))+'UAT10-Oct'!G157</f>
        <v>0</v>
      </c>
      <c r="H124" s="551">
        <f>IF(OR(H12="S",H12="C"),0,IF(OR(H12="1",H12="3"),ROUND(20*8*H18/365,5),ROUND(20*'New Hire'!I24*H18/365,5)))+'UAT10-Oct'!H157</f>
        <v>73.205469999999991</v>
      </c>
      <c r="I124" s="551">
        <f>IF(OR(I12="S",I12="C"),0,IF(OR(I12="1",I12="3"),ROUND(20*8*I18/365,5),ROUND(20*'New Hire'!J24*I18/365,5)))+'UAT10-Oct'!I157</f>
        <v>0</v>
      </c>
      <c r="J124" s="551">
        <f>IF(OR(J12="S",J12="C"),0,IF(OR(J12="1",J12="3"),ROUND(20*8*J18/365,5),ROUND(20*'New Hire'!K24*J18/365,5)))+'UAT10-Oct'!J157</f>
        <v>40.241100000000003</v>
      </c>
      <c r="K124" s="551">
        <f>IF(OR(K12="S",K12="C"),0,IF(OR(K12="1",K12="3"),ROUND(20*8*K18/365,5),ROUND(20*'New Hire'!L24*K18/365,5)))+'UAT10-Oct'!K157</f>
        <v>146.41092999999998</v>
      </c>
      <c r="L124" s="551">
        <f>IF(OR(L12="S",L12="C"),0,IF(OR(L12="1",L12="3"),ROUND(20*8*L18/365,5),ROUND(20*'New Hire'!M24*L18/365,5)))+'UAT10-Oct'!L157</f>
        <v>146.41092999999998</v>
      </c>
      <c r="M124" s="551">
        <f>IF(OR(M12="S",M12="C"),0,IF(OR(M12="1",M12="3"),ROUND(20*8*M18/365,5),ROUND(20*'New Hire'!N24*M18/365,5)))+'UAT10-Oct'!M157</f>
        <v>146.41092999999998</v>
      </c>
      <c r="N124" s="551">
        <f>IF(OR(N12="S",N12="C"),0,IF(OR(N12="1",N12="3"),ROUND(20*8*N18/365,5),ROUND(20*'New Hire'!O24*N18/365,5)))+'UAT10-Oct'!N157</f>
        <v>136.76709999999997</v>
      </c>
      <c r="O124" s="551">
        <v>0</v>
      </c>
      <c r="P124"/>
      <c r="Q124"/>
      <c r="R124"/>
      <c r="S124"/>
      <c r="T124"/>
      <c r="U124"/>
      <c r="AD124"/>
      <c r="AE124" s="81"/>
      <c r="AF124" s="80"/>
    </row>
    <row r="125" spans="1:32" s="5" customFormat="1">
      <c r="A125" s="6" t="s">
        <v>864</v>
      </c>
      <c r="B125" s="552">
        <f>IF(OR(B12="S",B12="C"),0,IF(OR(B12="1",B12="3"),ROUND(10*8*B18/365,5),ROUND(10*'New Hire'!C24*B18/365,5)))+'UAT10-Oct'!B158</f>
        <v>73.205469999999991</v>
      </c>
      <c r="C125" s="552">
        <f>IF(OR(C12="S",C12="C"),0,IF(OR(C12="1",C12="3"),ROUND(10*8*C18/365,5),ROUND(10*'New Hire'!D24*C18/365,5)))+'UAT10-Oct'!C158</f>
        <v>-31.485469999999999</v>
      </c>
      <c r="D125" s="552">
        <f>IF(OR(D12="S",D12="C"),0,IF(OR(D12="1",D12="3"),ROUND(10*8*D18/365,5),ROUND(10*'New Hire'!E24*D18/365,5)))+'UAT10-Oct'!D158</f>
        <v>13.369859999999999</v>
      </c>
      <c r="E125" s="552">
        <f>IF(OR(E12="S",E12="C"),0,IF(OR(E12="1",E12="3"),ROUND(10*8*E18/365,5),ROUND(10*'New Hire'!F24*E18/365,5)))+'UAT10-Oct'!E158</f>
        <v>73.205469999999991</v>
      </c>
      <c r="F125" s="552">
        <f>IF(OR(F12="S",F12="C"),0,IF(OR(F12="1",F12="3"),ROUND(10*8*F18/365,5),ROUND(10*'New Hire'!G24*F18/365,5)))+'UAT10-Oct'!F158</f>
        <v>58.564389999999996</v>
      </c>
      <c r="G125" s="552">
        <f>IF(OR(G12="S",G12="C"),0,IF(OR(G12="1",G12="3"),ROUND(10*8*G18/365,5),ROUND(10*'New Hire'!H24*G18/365,5)))+'UAT10-Oct'!G158</f>
        <v>0</v>
      </c>
      <c r="H125" s="552">
        <f>IF(OR(H12="S",H12="C"),0,IF(OR(H12="1",H12="3"),ROUND(10*8*H18/365,5),ROUND(10*'New Hire'!I24*H18/365,5)))+'UAT10-Oct'!H158</f>
        <v>36.602729999999994</v>
      </c>
      <c r="I125" s="552">
        <f>IF(OR(I12="S",I12="C"),0,IF(OR(I12="1",I12="3"),ROUND(10*8*I18/365,5),ROUND(10*'New Hire'!J24*I18/365,5)))+'UAT10-Oct'!I158</f>
        <v>0</v>
      </c>
      <c r="J125" s="552">
        <f>IF(OR(J12="S",J12="C"),0,IF(OR(J12="1",J12="3"),ROUND(10*8*J18/365,5),ROUND(10*'New Hire'!K24*J18/365,5)))+'UAT10-Oct'!J158</f>
        <v>20.120560000000001</v>
      </c>
      <c r="K125" s="552">
        <f>IF(OR(K12="S",K12="C"),0,IF(OR(K12="1",K12="3"),ROUND(10*8*K18/365,5),ROUND(10*'New Hire'!L24*K18/365,5)))+'UAT10-Oct'!K158</f>
        <v>73.205469999999991</v>
      </c>
      <c r="L125" s="552">
        <f>IF(OR(L12="S",L12="C"),0,IF(OR(L12="1",L12="3"),ROUND(10*8*L18/365,5),ROUND(10*'New Hire'!M24*L18/365,5)))+'UAT10-Oct'!L158</f>
        <v>73.205469999999991</v>
      </c>
      <c r="M125" s="552">
        <f>IF(OR(M12="S",M12="C"),0,IF(OR(M12="1",M12="3"),ROUND(10*8*M18/365,5),ROUND(10*'New Hire'!N24*M18/365,5)))+'UAT10-Oct'!M158</f>
        <v>73.205469999999991</v>
      </c>
      <c r="N125" s="552">
        <f>IF(OR(N12="S",N12="C"),0,IF(OR(N12="1",N12="3"),ROUND(10*8*N18/365,5),ROUND(10*'New Hire'!O24*N18/365,5)))+'UAT10-Oct'!N158</f>
        <v>68.38355</v>
      </c>
      <c r="O125" s="552">
        <v>0</v>
      </c>
      <c r="P125"/>
      <c r="Q125"/>
      <c r="R125"/>
      <c r="S125"/>
      <c r="T125"/>
      <c r="U125"/>
      <c r="AD125"/>
      <c r="AE125" s="81"/>
      <c r="AF125" s="80"/>
    </row>
    <row r="126" spans="1:32" s="5" customFormat="1">
      <c r="A126" s="445" t="s">
        <v>829</v>
      </c>
      <c r="B126" s="551">
        <f>IF(B119&lt;&gt;0,0,IF('New Hire'!C78=1,ROUND(25/10*B14%/365,5)*B18,0)+'UAT10-Oct'!B159)</f>
        <v>0</v>
      </c>
      <c r="C126" s="551">
        <f>IF(C119&lt;&gt;0,0,IF('New Hire'!D78=1,ROUND(25/10*C14%/365,5)*C18,0)+'UAT10-Oct'!C159)</f>
        <v>0</v>
      </c>
      <c r="D126" s="551">
        <f>IF(D119&lt;&gt;0,0,IF('New Hire'!E78=1,ROUND(25/10*D14%/365,5)*D18,0)+'UAT10-Oct'!D159)</f>
        <v>0</v>
      </c>
      <c r="E126" s="551">
        <f>IF(E119&lt;&gt;0,0,IF('New Hire'!F78=1,ROUND(25/10*E14%/365,5)*E18,0)+'UAT10-Oct'!E159)</f>
        <v>0</v>
      </c>
      <c r="F126" s="551">
        <f>IF(F119&lt;&gt;0,0,IF('New Hire'!G78=1,ROUND(25/10*F14%/365,5)*F18,0)+'UAT10-Oct'!F159)</f>
        <v>0</v>
      </c>
      <c r="G126" s="551">
        <f>IF(G119&lt;&gt;0,0,IF('New Hire'!H78=1,ROUND(25/10*G14%/365,5)*G18,0)+'UAT10-Oct'!G159)</f>
        <v>0</v>
      </c>
      <c r="H126" s="551">
        <f>IF(H119&lt;&gt;0,0,IF('New Hire'!I78=1,ROUND(25/10*H14%/365,5)*H18,0)+'UAT10-Oct'!H159)</f>
        <v>0</v>
      </c>
      <c r="I126" s="551">
        <f>IF(I119&lt;&gt;0,0,IF('New Hire'!J78=1,ROUND(25/10*I14%/365,5)*I18,0)+'UAT10-Oct'!I159)</f>
        <v>0</v>
      </c>
      <c r="J126" s="551">
        <f>IF(J119&lt;&gt;0,0,IF('New Hire'!K78=1,ROUND(25/10*J14%/365,5)*J18,0)+'UAT10-Oct'!J159)</f>
        <v>0</v>
      </c>
      <c r="K126" s="551">
        <f>IF(K119&lt;&gt;0,0,IF('New Hire'!L78=1,ROUND(25/10*K14%/365,5)*K18,0)+'UAT10-Oct'!K159)</f>
        <v>0</v>
      </c>
      <c r="L126" s="551">
        <f>IF(L119&lt;&gt;0,0,IF('New Hire'!M78=1,ROUND(25/10*L14%/365,5)*L18,0)+'UAT10-Oct'!L159)</f>
        <v>0</v>
      </c>
      <c r="M126" s="551">
        <f>IF(M119&lt;&gt;0,0,IF('New Hire'!N78=1,ROUND(25/10*M14%/365,5)*M18,0)+'UAT10-Oct'!M159)</f>
        <v>0</v>
      </c>
      <c r="N126" s="551">
        <f>IF(N119&lt;&gt;0,0,IF('New Hire'!O78=1,ROUND(25/10*N14%/365,5)*N18,0)+'UAT10-Oct'!N159)</f>
        <v>0</v>
      </c>
      <c r="O126" s="551">
        <f>IF(O119&lt;&gt;0,0,IF('New Hire'!P78=1,ROUND(25/10*O14%/365,5)*O18,0)+'UAT10-Oct'!O159)</f>
        <v>0</v>
      </c>
      <c r="P126"/>
      <c r="Q126"/>
      <c r="R126"/>
      <c r="S126"/>
      <c r="T126"/>
      <c r="U126"/>
      <c r="AD126"/>
      <c r="AE126" s="81"/>
      <c r="AF126" s="80"/>
    </row>
    <row r="127" spans="1:32" s="5" customFormat="1">
      <c r="A127" s="445" t="s">
        <v>830</v>
      </c>
      <c r="B127" s="552">
        <f>IF(B12="C",0,IF(B120&lt;&gt;0,0,IF('New Hire'!C78=1,0,ROUND(5/5*B14%/365,5)*B18)+'UAT10-Oct'!B160))</f>
        <v>0</v>
      </c>
      <c r="C127" s="552">
        <f>IF(C12="C",0,IF(C120&lt;&gt;0,0,IF('New Hire'!D78=1,0,ROUND(5/5*C14%/365,5)*C18)+'UAT10-Oct'!C160))</f>
        <v>0.44798999999999994</v>
      </c>
      <c r="D127" s="552">
        <f>IF(D12="C",0,IF(D120&lt;&gt;0,0,IF('New Hire'!E78=1,0,ROUND(5/5*D14%/365,5)*D18)+'UAT10-Oct'!D160))</f>
        <v>0.16713999999999998</v>
      </c>
      <c r="E127" s="552">
        <f>IF(E12="C",0,IF(E120&lt;&gt;0,0,IF('New Hire'!F78=1,0,ROUND(5/5*E14%/365,5)*E18)+'UAT10-Oct'!E160))</f>
        <v>0.91515999999999997</v>
      </c>
      <c r="F127" s="552">
        <f>IF(F12="C",0,IF(F120&lt;&gt;0,0,IF('New Hire'!G78=1,0,ROUND(5/5*F14%/365,5)*F18)+'UAT10-Oct'!F160))</f>
        <v>0</v>
      </c>
      <c r="G127" s="552">
        <f>IF(G12="C",0,IF(G120&lt;&gt;0,0,IF('New Hire'!H78=1,0,ROUND(5/5*G14%/365,5)*G18)+'UAT10-Oct'!G160))</f>
        <v>0</v>
      </c>
      <c r="H127" s="552">
        <f>IF(H12="C",0,IF(H120&lt;&gt;0,0,IF('New Hire'!I78=1,0,ROUND(5/5*H14%/365,5)*H18)+'UAT10-Oct'!H160))</f>
        <v>0.45757999999999999</v>
      </c>
      <c r="I127" s="552">
        <f>IF(I12="C",0,IF(I120&lt;&gt;0,0,IF('New Hire'!J78=1,0,ROUND(5/5*I14%/365,5)*I18)+'UAT10-Oct'!I160))</f>
        <v>0.86857999999999991</v>
      </c>
      <c r="J127" s="552">
        <f>IF(J12="C",0,IF(J120&lt;&gt;0,0,IF('New Hire'!K78=1,0,ROUND(5/5*J14%/365,5)*J18)+'UAT10-Oct'!J160))</f>
        <v>0.41922000000000004</v>
      </c>
      <c r="K127" s="552">
        <f>IF(K12="C",0,IF(K120&lt;&gt;0,0,IF('New Hire'!L78=1,0,ROUND(5/5*K14%/365,5)*K18)+'UAT10-Oct'!K160))</f>
        <v>0</v>
      </c>
      <c r="L127" s="552">
        <f>IF(L12="C",0,IF(L120&lt;&gt;0,0,IF('New Hire'!M78=1,0,ROUND(5/5*L14%/365,5)*L18)+'UAT10-Oct'!L160))</f>
        <v>0</v>
      </c>
      <c r="M127" s="552">
        <f>IF(M12="C",0,IF(M120&lt;&gt;0,0,IF('New Hire'!N78=1,0,ROUND(5/5*M14%/365,5)*M18)+'UAT10-Oct'!M160))</f>
        <v>0.91515999999999997</v>
      </c>
      <c r="N127" s="552">
        <f>IF(N12="C",0,IF(N120&lt;&gt;0,0,IF('New Hire'!O78=1,0,ROUND(5/5*N14%/365,5)*N18)+'UAT10-Oct'!N160))</f>
        <v>0.85487999999999997</v>
      </c>
      <c r="O127" s="552">
        <f>IF(O12="C",0,IF(O120&lt;&gt;0,0,IF('New Hire'!P78=1,0,ROUND(5/5*O14%/365,5)*O18)+'UAT10-Oct'!O160))</f>
        <v>0</v>
      </c>
      <c r="P127"/>
      <c r="Q127"/>
      <c r="R127"/>
      <c r="S127"/>
      <c r="T127"/>
      <c r="U127"/>
      <c r="AD127"/>
      <c r="AE127" s="81"/>
      <c r="AF127" s="80"/>
    </row>
    <row r="128" spans="1:32" s="5" customFormat="1">
      <c r="A128" s="445"/>
      <c r="B128" s="549"/>
      <c r="C128" s="549"/>
      <c r="D128" s="549"/>
      <c r="E128" s="549"/>
      <c r="F128" s="549"/>
      <c r="G128" s="549"/>
      <c r="H128" s="549"/>
      <c r="I128" s="549"/>
      <c r="J128" s="549"/>
      <c r="K128" s="549"/>
      <c r="L128" s="549"/>
      <c r="M128" s="549"/>
      <c r="N128" s="549"/>
      <c r="O128" s="549"/>
      <c r="P128"/>
      <c r="Q128"/>
      <c r="R128"/>
      <c r="S128"/>
      <c r="T128"/>
      <c r="U128"/>
      <c r="AD128"/>
      <c r="AE128" s="81"/>
      <c r="AF128" s="80"/>
    </row>
    <row r="129" spans="1:32" ht="15.6">
      <c r="A129" s="411" t="s">
        <v>629</v>
      </c>
      <c r="AE129" s="81"/>
      <c r="AF129" s="81"/>
    </row>
    <row r="130" spans="1:32">
      <c r="A130" s="535" t="s">
        <v>479</v>
      </c>
      <c r="B130" s="536">
        <v>7000000</v>
      </c>
      <c r="C130" s="536">
        <v>6200000</v>
      </c>
      <c r="D130" s="536">
        <f>'UAT10-Oct'!AA42</f>
        <v>11000000</v>
      </c>
      <c r="E130" s="536">
        <v>11000000</v>
      </c>
      <c r="F130" s="536">
        <v>16000000</v>
      </c>
      <c r="H130" s="536">
        <v>5500</v>
      </c>
      <c r="I130" s="536">
        <v>4200</v>
      </c>
      <c r="J130" s="536">
        <v>55000000</v>
      </c>
      <c r="K130" s="536">
        <v>10000000</v>
      </c>
      <c r="L130" s="536">
        <v>11500000</v>
      </c>
      <c r="M130" s="536">
        <v>7000000</v>
      </c>
      <c r="N130" s="536">
        <v>8000000</v>
      </c>
      <c r="AE130" s="81"/>
      <c r="AF130" s="81"/>
    </row>
    <row r="131" spans="1:32">
      <c r="A131" s="445" t="s">
        <v>776</v>
      </c>
      <c r="B131" s="452"/>
      <c r="C131" s="452"/>
      <c r="D131" s="452"/>
      <c r="E131" s="452"/>
      <c r="F131" s="452"/>
      <c r="G131" s="536">
        <v>250</v>
      </c>
      <c r="H131" s="452"/>
      <c r="I131" s="452"/>
      <c r="J131" s="452"/>
      <c r="K131" s="452"/>
      <c r="L131" s="452"/>
      <c r="M131" s="452"/>
      <c r="N131" s="452"/>
      <c r="O131" s="536">
        <v>900000</v>
      </c>
      <c r="AE131" s="81"/>
      <c r="AF131" s="81"/>
    </row>
    <row r="132" spans="1:32">
      <c r="A132" s="451" t="s">
        <v>496</v>
      </c>
      <c r="B132" s="452">
        <v>700000</v>
      </c>
      <c r="C132" s="452">
        <v>620000</v>
      </c>
      <c r="D132" s="452">
        <f>'UAT10-Oct'!AA43</f>
        <v>1100000</v>
      </c>
      <c r="E132" s="452">
        <v>0</v>
      </c>
      <c r="F132" s="452">
        <v>0</v>
      </c>
      <c r="G132" s="452">
        <v>0</v>
      </c>
      <c r="H132" s="452">
        <v>550</v>
      </c>
      <c r="I132" s="452">
        <v>0</v>
      </c>
      <c r="J132" s="452">
        <v>5500000</v>
      </c>
      <c r="K132" s="452">
        <v>1000000</v>
      </c>
      <c r="L132" s="452">
        <v>0</v>
      </c>
      <c r="M132" s="452">
        <v>1400000</v>
      </c>
      <c r="N132" s="452">
        <v>1200000</v>
      </c>
      <c r="O132" s="452">
        <f>'New Hire'!P34</f>
        <v>0</v>
      </c>
    </row>
    <row r="133" spans="1:32">
      <c r="A133" s="415" t="s">
        <v>569</v>
      </c>
      <c r="B133" s="452">
        <v>1400000</v>
      </c>
      <c r="C133" s="452">
        <v>1240000</v>
      </c>
      <c r="D133" s="452">
        <f>'UAT10-Oct'!AA44</f>
        <v>2350000</v>
      </c>
      <c r="E133" s="452">
        <v>0</v>
      </c>
      <c r="F133" s="452">
        <v>0</v>
      </c>
      <c r="G133" s="452">
        <v>0</v>
      </c>
      <c r="H133" s="452">
        <v>1100</v>
      </c>
      <c r="I133" s="452">
        <v>0</v>
      </c>
      <c r="J133" s="452">
        <v>11000000</v>
      </c>
      <c r="K133" s="452">
        <v>2000000</v>
      </c>
      <c r="L133" s="452">
        <v>0</v>
      </c>
      <c r="M133" s="452">
        <v>2100000</v>
      </c>
      <c r="N133" s="452">
        <v>1650000</v>
      </c>
      <c r="O133" s="452">
        <f>'New Hire'!P36</f>
        <v>0</v>
      </c>
    </row>
    <row r="134" spans="1:32">
      <c r="A134" s="423" t="s">
        <v>495</v>
      </c>
      <c r="B134" s="452"/>
      <c r="C134" s="452"/>
      <c r="D134" s="452"/>
      <c r="E134" s="452"/>
      <c r="F134" s="452"/>
      <c r="G134" s="452"/>
      <c r="H134" s="452"/>
      <c r="I134" s="452"/>
      <c r="J134" s="452"/>
      <c r="K134" s="452"/>
      <c r="L134" s="452"/>
      <c r="M134" s="452"/>
      <c r="N134" s="452"/>
      <c r="O134" s="452"/>
    </row>
    <row r="135" spans="1:32">
      <c r="A135" s="412" t="s">
        <v>530</v>
      </c>
      <c r="B135" s="452"/>
      <c r="C135" s="452"/>
      <c r="D135" s="452"/>
      <c r="E135" s="452"/>
      <c r="F135" s="452"/>
      <c r="G135" s="452"/>
      <c r="H135" s="452"/>
      <c r="I135" s="452"/>
      <c r="J135" s="452"/>
      <c r="K135" s="452"/>
      <c r="L135" s="452"/>
      <c r="M135" s="452"/>
      <c r="N135" s="452"/>
      <c r="O135" s="452"/>
    </row>
    <row r="136" spans="1:32">
      <c r="A136" s="423" t="s">
        <v>598</v>
      </c>
      <c r="B136" s="452"/>
      <c r="C136" s="452"/>
      <c r="D136" s="452"/>
      <c r="E136" s="452"/>
      <c r="F136" s="452"/>
      <c r="G136" s="452"/>
      <c r="H136" s="452"/>
      <c r="I136" s="452"/>
      <c r="J136" s="452"/>
      <c r="K136" s="452"/>
      <c r="L136" s="452"/>
      <c r="M136" s="452"/>
      <c r="N136" s="452"/>
      <c r="O136" s="452"/>
    </row>
    <row r="137" spans="1:32">
      <c r="A137" s="415" t="s">
        <v>493</v>
      </c>
      <c r="B137" s="452"/>
      <c r="C137" s="452"/>
      <c r="D137" s="452"/>
      <c r="E137" s="452"/>
      <c r="F137" s="452"/>
      <c r="G137" s="452"/>
      <c r="H137" s="452"/>
      <c r="I137" s="452"/>
      <c r="J137" s="452"/>
      <c r="K137" s="452"/>
      <c r="L137" s="452"/>
      <c r="M137" s="452"/>
      <c r="N137" s="452"/>
      <c r="O137" s="452"/>
    </row>
    <row r="138" spans="1:32">
      <c r="A138" s="415" t="s">
        <v>499</v>
      </c>
      <c r="B138" s="452"/>
      <c r="C138" s="452"/>
      <c r="D138" s="452"/>
      <c r="E138" s="452"/>
      <c r="F138" s="452"/>
      <c r="G138" s="452"/>
      <c r="H138" s="452"/>
      <c r="I138" s="452"/>
      <c r="J138" s="452"/>
      <c r="K138" s="452"/>
      <c r="L138" s="452"/>
      <c r="M138" s="452"/>
      <c r="N138" s="452"/>
      <c r="O138" s="452"/>
    </row>
    <row r="139" spans="1:32">
      <c r="A139" s="6" t="s">
        <v>630</v>
      </c>
      <c r="B139" s="452"/>
      <c r="C139" s="452"/>
      <c r="D139" s="452"/>
      <c r="E139" s="452"/>
      <c r="F139" s="452"/>
      <c r="G139" s="452"/>
      <c r="H139" s="452"/>
      <c r="I139" s="452"/>
      <c r="J139" s="452"/>
      <c r="K139" s="452"/>
      <c r="L139" s="452"/>
      <c r="M139" s="452"/>
      <c r="N139" s="452"/>
      <c r="O139" s="452"/>
    </row>
    <row r="140" spans="1:32">
      <c r="A140" s="6" t="s">
        <v>632</v>
      </c>
      <c r="B140" s="452"/>
      <c r="C140" s="452"/>
      <c r="D140" s="452"/>
      <c r="E140" s="452"/>
      <c r="F140" s="452"/>
      <c r="G140" s="452"/>
      <c r="H140" s="452"/>
      <c r="I140" s="452"/>
      <c r="J140" s="452"/>
      <c r="K140" s="452"/>
      <c r="L140" s="452"/>
      <c r="M140" s="452"/>
      <c r="N140" s="452"/>
      <c r="O140" s="452"/>
    </row>
    <row r="141" spans="1:32">
      <c r="A141" s="412" t="s">
        <v>613</v>
      </c>
      <c r="B141" s="452"/>
      <c r="C141" s="452"/>
      <c r="D141" s="452"/>
      <c r="E141" s="452"/>
      <c r="F141" s="452"/>
      <c r="G141" s="452"/>
      <c r="H141" s="452">
        <v>100</v>
      </c>
      <c r="I141" s="452">
        <v>100</v>
      </c>
      <c r="J141" s="452"/>
      <c r="K141" s="452"/>
      <c r="L141" s="452"/>
      <c r="M141" s="452"/>
      <c r="N141" s="452"/>
      <c r="O141" s="452"/>
    </row>
    <row r="142" spans="1:32">
      <c r="A142" s="412" t="s">
        <v>614</v>
      </c>
      <c r="B142" s="452"/>
      <c r="C142" s="452"/>
      <c r="D142" s="452"/>
      <c r="E142" s="452"/>
      <c r="F142" s="452"/>
      <c r="G142" s="452"/>
      <c r="H142" s="452">
        <v>200</v>
      </c>
      <c r="I142" s="452">
        <v>200</v>
      </c>
      <c r="J142" s="452"/>
      <c r="K142" s="452"/>
      <c r="L142" s="452"/>
      <c r="M142" s="452"/>
      <c r="N142" s="452"/>
      <c r="O142" s="452"/>
    </row>
    <row r="143" spans="1:32">
      <c r="A143" s="6" t="s">
        <v>633</v>
      </c>
      <c r="B143" s="452">
        <f t="shared" ref="B143:O143" si="50">IF(OR(B20="A",B20="B"),B130,(B130-B141-B142)*B87)</f>
        <v>7000000</v>
      </c>
      <c r="C143" s="452">
        <f t="shared" si="50"/>
        <v>6200000</v>
      </c>
      <c r="D143" s="452">
        <f t="shared" si="50"/>
        <v>11000000</v>
      </c>
      <c r="E143" s="452">
        <f t="shared" si="50"/>
        <v>11000000</v>
      </c>
      <c r="F143" s="452">
        <f t="shared" si="50"/>
        <v>16000000</v>
      </c>
      <c r="G143" s="452">
        <f t="shared" si="50"/>
        <v>0</v>
      </c>
      <c r="H143" s="452">
        <f t="shared" si="50"/>
        <v>5200</v>
      </c>
      <c r="I143" s="452">
        <f t="shared" si="50"/>
        <v>3900</v>
      </c>
      <c r="J143" s="452">
        <f t="shared" si="50"/>
        <v>55000000</v>
      </c>
      <c r="K143" s="452">
        <f t="shared" si="50"/>
        <v>10000000</v>
      </c>
      <c r="L143" s="452">
        <f t="shared" si="50"/>
        <v>11500000</v>
      </c>
      <c r="M143" s="452">
        <f t="shared" si="50"/>
        <v>7000000</v>
      </c>
      <c r="N143" s="452">
        <f t="shared" si="50"/>
        <v>8000000</v>
      </c>
      <c r="O143" s="452">
        <f t="shared" si="50"/>
        <v>0</v>
      </c>
    </row>
    <row r="144" spans="1:32">
      <c r="A144" s="6" t="s">
        <v>635</v>
      </c>
      <c r="B144" s="452">
        <f t="shared" ref="B144:O144" si="51">IF(B12="C",0,IF(OR(B20="A",B20="B"),0,ROUND(B143*$B$5,0)+ROUND(B132*$B$5,0)+ROUND(B133*$B$5,0)+ROUND(B135*$B$5,0)))</f>
        <v>0</v>
      </c>
      <c r="C144" s="452">
        <f t="shared" si="51"/>
        <v>0</v>
      </c>
      <c r="D144" s="452">
        <f t="shared" si="51"/>
        <v>0</v>
      </c>
      <c r="E144" s="452">
        <f t="shared" si="51"/>
        <v>0</v>
      </c>
      <c r="F144" s="452">
        <f t="shared" si="51"/>
        <v>0</v>
      </c>
      <c r="G144" s="452">
        <f t="shared" si="51"/>
        <v>0</v>
      </c>
      <c r="H144" s="452">
        <f t="shared" si="51"/>
        <v>160975000</v>
      </c>
      <c r="I144" s="452">
        <f t="shared" si="51"/>
        <v>91650000</v>
      </c>
      <c r="J144" s="452">
        <f t="shared" si="51"/>
        <v>0</v>
      </c>
      <c r="K144" s="452">
        <f t="shared" si="51"/>
        <v>0</v>
      </c>
      <c r="L144" s="452">
        <f t="shared" si="51"/>
        <v>0</v>
      </c>
      <c r="M144" s="452">
        <f t="shared" si="51"/>
        <v>0</v>
      </c>
      <c r="N144" s="452">
        <f t="shared" si="51"/>
        <v>0</v>
      </c>
      <c r="O144" s="452">
        <f t="shared" si="51"/>
        <v>0</v>
      </c>
    </row>
    <row r="145" spans="1:15">
      <c r="A145" s="6" t="s">
        <v>665</v>
      </c>
      <c r="B145" s="5">
        <v>0</v>
      </c>
      <c r="C145" s="5">
        <v>0</v>
      </c>
      <c r="D145" s="5">
        <v>0</v>
      </c>
      <c r="E145" s="5">
        <v>0</v>
      </c>
      <c r="F145" s="5">
        <v>0</v>
      </c>
      <c r="G145" s="5">
        <v>0</v>
      </c>
      <c r="H145" s="5">
        <v>0</v>
      </c>
      <c r="I145" s="5">
        <v>0</v>
      </c>
      <c r="J145" s="5">
        <v>0</v>
      </c>
      <c r="K145" s="5">
        <v>0</v>
      </c>
      <c r="L145" s="5">
        <v>0</v>
      </c>
      <c r="M145" s="5">
        <v>0</v>
      </c>
      <c r="N145" s="5">
        <v>0</v>
      </c>
      <c r="O145" s="5">
        <v>0</v>
      </c>
    </row>
    <row r="146" spans="1:15">
      <c r="A146" s="6" t="s">
        <v>866</v>
      </c>
      <c r="B146" s="5">
        <f>'UAT10-Oct'!B179</f>
        <v>0</v>
      </c>
      <c r="C146" s="5">
        <f>'UAT10-Oct'!C179</f>
        <v>0</v>
      </c>
      <c r="D146" s="5">
        <f>'UAT10-Oct'!D179</f>
        <v>0</v>
      </c>
      <c r="E146" s="5">
        <f>'UAT10-Oct'!E179</f>
        <v>36</v>
      </c>
      <c r="F146" s="5">
        <f>'UAT10-Oct'!F179</f>
        <v>0</v>
      </c>
      <c r="G146" s="5">
        <f>'UAT10-Oct'!G179</f>
        <v>0</v>
      </c>
      <c r="H146" s="5">
        <f>'UAT10-Oct'!H179</f>
        <v>31</v>
      </c>
      <c r="I146" s="5">
        <f>'UAT10-Oct'!I179</f>
        <v>0</v>
      </c>
      <c r="J146" s="5">
        <f>'UAT10-Oct'!J179</f>
        <v>0</v>
      </c>
      <c r="K146" s="5">
        <f>'UAT10-Oct'!K179</f>
        <v>0</v>
      </c>
      <c r="L146" s="5">
        <f>'UAT10-Oct'!L179</f>
        <v>0</v>
      </c>
      <c r="M146" s="5">
        <f>'UAT10-Oct'!M179</f>
        <v>0</v>
      </c>
      <c r="N146" s="5">
        <f>'UAT10-Oct'!N179</f>
        <v>0</v>
      </c>
      <c r="O146" s="5">
        <f>'UAT10-Oct'!O179</f>
        <v>0</v>
      </c>
    </row>
  </sheetData>
  <mergeCells count="4">
    <mergeCell ref="G6:J6"/>
    <mergeCell ref="X6:AA6"/>
    <mergeCell ref="P7:P8"/>
    <mergeCell ref="X9:AA12"/>
  </mergeCells>
  <phoneticPr fontId="104" type="noConversion"/>
  <pageMargins left="0.75" right="0.75" top="1" bottom="1" header="0.5" footer="0.5"/>
  <pageSetup paperSize="9" orientation="portrait" verticalDpi="90" r:id="rId1"/>
  <headerFooter alignWithMargins="0"/>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143"/>
  <sheetViews>
    <sheetView workbookViewId="0">
      <pane xSplit="1" ySplit="9" topLeftCell="Q30" activePane="bottomRight" state="frozen"/>
      <selection pane="topRight" activeCell="B1" sqref="B1"/>
      <selection pane="bottomLeft" activeCell="A10" sqref="A10"/>
      <selection pane="bottomRight" activeCell="Y39" sqref="Y39:Y40"/>
    </sheetView>
  </sheetViews>
  <sheetFormatPr defaultRowHeight="13.8"/>
  <cols>
    <col min="1" max="1" width="31" style="5" bestFit="1" customWidth="1"/>
    <col min="2" max="4" width="10.77734375" style="5" customWidth="1"/>
    <col min="5" max="6" width="10.77734375" customWidth="1"/>
    <col min="7" max="7" width="11.6640625" bestFit="1" customWidth="1"/>
    <col min="8" max="12" width="10.77734375" customWidth="1"/>
    <col min="13" max="13" width="12.6640625" bestFit="1" customWidth="1"/>
    <col min="14" max="15" width="12.77734375" customWidth="1"/>
    <col min="16" max="18" width="10.77734375" customWidth="1"/>
    <col min="19" max="23" width="9.33203125" style="5" customWidth="1"/>
    <col min="24" max="24" width="10.77734375" style="5" bestFit="1" customWidth="1"/>
    <col min="25" max="26" width="9.33203125" style="5" customWidth="1"/>
  </cols>
  <sheetData>
    <row r="1" spans="1:26" s="3" customFormat="1" ht="20.399999999999999">
      <c r="A1" s="110" t="s">
        <v>6</v>
      </c>
      <c r="B1" s="110"/>
      <c r="C1" s="110"/>
      <c r="D1" s="110"/>
      <c r="E1" s="449"/>
      <c r="J1" s="8"/>
      <c r="U1" s="1"/>
      <c r="V1" s="1"/>
      <c r="W1" s="1"/>
      <c r="X1" s="1"/>
      <c r="Y1" s="1"/>
      <c r="Z1" s="1"/>
    </row>
    <row r="2" spans="1:26" s="3" customFormat="1" ht="12.75" customHeight="1">
      <c r="B2" s="116"/>
      <c r="C2" s="116"/>
      <c r="D2" s="115"/>
      <c r="S2" s="22"/>
      <c r="T2" s="22"/>
      <c r="U2" s="22"/>
      <c r="V2" s="22"/>
      <c r="W2" s="22"/>
      <c r="X2" s="2"/>
      <c r="Z2" s="2"/>
    </row>
    <row r="3" spans="1:26" s="3" customFormat="1" ht="30">
      <c r="A3" s="112" t="s">
        <v>930</v>
      </c>
      <c r="B3" s="116"/>
      <c r="C3" s="116"/>
      <c r="D3" s="112"/>
      <c r="S3" s="22"/>
      <c r="T3" s="22"/>
      <c r="U3" s="22"/>
      <c r="V3" s="22"/>
      <c r="W3" s="22"/>
      <c r="X3" s="2"/>
      <c r="Z3" s="2"/>
    </row>
    <row r="4" spans="1:26" s="116" customFormat="1">
      <c r="A4" s="116" t="s">
        <v>541</v>
      </c>
      <c r="B4" s="367">
        <v>23205</v>
      </c>
    </row>
    <row r="5" spans="1:26" s="116" customFormat="1">
      <c r="A5" s="116" t="s">
        <v>1273</v>
      </c>
      <c r="B5" s="367">
        <v>23500</v>
      </c>
    </row>
    <row r="6" spans="1:26" s="3" customFormat="1" ht="18" customHeight="1">
      <c r="A6" s="327">
        <v>43830</v>
      </c>
      <c r="B6" s="116"/>
      <c r="C6" s="116"/>
      <c r="F6" s="721" t="s">
        <v>52</v>
      </c>
      <c r="G6" s="721"/>
      <c r="H6" s="721"/>
      <c r="S6" s="22"/>
      <c r="T6" s="22"/>
      <c r="U6" s="720" t="s">
        <v>65</v>
      </c>
      <c r="V6" s="720"/>
      <c r="W6" s="720"/>
      <c r="X6" s="720"/>
      <c r="Y6" s="2"/>
      <c r="Z6" s="2"/>
    </row>
    <row r="7" spans="1:26" s="4" customFormat="1">
      <c r="A7" s="409"/>
      <c r="B7" s="323" t="s">
        <v>34</v>
      </c>
      <c r="C7" s="324" t="s">
        <v>36</v>
      </c>
      <c r="D7" s="529" t="s">
        <v>37</v>
      </c>
      <c r="E7" s="324" t="s">
        <v>38</v>
      </c>
      <c r="F7" s="324" t="s">
        <v>39</v>
      </c>
      <c r="G7" s="324" t="s">
        <v>41</v>
      </c>
      <c r="H7" s="324" t="s">
        <v>42</v>
      </c>
      <c r="I7" s="324" t="s">
        <v>43</v>
      </c>
      <c r="J7" s="324" t="s">
        <v>44</v>
      </c>
      <c r="K7" s="324" t="s">
        <v>45</v>
      </c>
      <c r="L7" s="324" t="s">
        <v>47</v>
      </c>
      <c r="M7" s="731" t="s">
        <v>500</v>
      </c>
      <c r="N7" s="349" t="s">
        <v>516</v>
      </c>
      <c r="O7" s="349" t="s">
        <v>517</v>
      </c>
      <c r="P7" s="349" t="s">
        <v>519</v>
      </c>
      <c r="Q7" s="349" t="s">
        <v>521</v>
      </c>
      <c r="R7" s="349" t="s">
        <v>523</v>
      </c>
      <c r="S7" s="350"/>
      <c r="T7" s="351"/>
      <c r="U7" s="351"/>
      <c r="V7" s="351"/>
      <c r="W7" s="351"/>
      <c r="X7" s="351"/>
      <c r="Y7" s="351"/>
      <c r="Z7" s="352"/>
    </row>
    <row r="8" spans="1:26" ht="15.6">
      <c r="A8" s="410"/>
      <c r="B8" s="117">
        <f>'New Hire'!C6</f>
        <v>91999901</v>
      </c>
      <c r="C8" s="339">
        <f>'New Hire'!E6</f>
        <v>91999903</v>
      </c>
      <c r="D8" s="530">
        <f>'New Hire'!F6</f>
        <v>91999904</v>
      </c>
      <c r="E8" s="339">
        <f>'New Hire'!G6</f>
        <v>91999905</v>
      </c>
      <c r="F8" s="339">
        <f>'New Hire'!H6</f>
        <v>91999906</v>
      </c>
      <c r="G8" s="339">
        <f>'New Hire'!J6</f>
        <v>91999908</v>
      </c>
      <c r="H8" s="339">
        <f>'New Hire'!K6</f>
        <v>91999909</v>
      </c>
      <c r="I8" s="339">
        <f>'New Hire'!L6</f>
        <v>91999910</v>
      </c>
      <c r="J8" s="339">
        <f>'New Hire'!M6</f>
        <v>91999911</v>
      </c>
      <c r="K8" s="339">
        <f>'New Hire'!N6</f>
        <v>91999912</v>
      </c>
      <c r="L8" s="339">
        <f>'New Hire'!P6</f>
        <v>91999914</v>
      </c>
      <c r="M8" s="732"/>
      <c r="N8" s="349" t="s">
        <v>515</v>
      </c>
      <c r="O8" s="349" t="s">
        <v>518</v>
      </c>
      <c r="P8" s="349" t="s">
        <v>520</v>
      </c>
      <c r="Q8" s="349" t="s">
        <v>522</v>
      </c>
      <c r="R8" s="349" t="s">
        <v>524</v>
      </c>
      <c r="S8" s="47"/>
      <c r="T8" s="48"/>
      <c r="U8" s="20"/>
      <c r="V8" s="20"/>
      <c r="W8" s="20"/>
      <c r="X8" s="20"/>
      <c r="Y8" s="20"/>
      <c r="Z8" s="15"/>
    </row>
    <row r="9" spans="1:26" ht="12.75" customHeight="1">
      <c r="A9" s="411" t="s">
        <v>63</v>
      </c>
      <c r="B9" s="23"/>
      <c r="C9" s="19"/>
      <c r="D9" s="20"/>
      <c r="E9" s="19"/>
      <c r="F9" s="19"/>
      <c r="G9" s="19"/>
      <c r="H9" s="19"/>
      <c r="I9" s="20"/>
      <c r="J9" s="20"/>
      <c r="K9" s="20"/>
      <c r="L9" s="15"/>
      <c r="M9" s="15"/>
      <c r="N9" s="20"/>
      <c r="O9" s="20"/>
      <c r="P9" s="20"/>
      <c r="Q9" s="20"/>
      <c r="R9" s="20"/>
      <c r="S9" s="25"/>
      <c r="T9" s="26"/>
      <c r="U9" s="722" t="s">
        <v>608</v>
      </c>
      <c r="V9" s="723"/>
      <c r="W9" s="723"/>
      <c r="X9" s="724"/>
      <c r="Y9" s="27"/>
      <c r="Z9" s="18"/>
    </row>
    <row r="10" spans="1:26">
      <c r="A10" s="424" t="s">
        <v>480</v>
      </c>
      <c r="B10" s="385">
        <v>43800</v>
      </c>
      <c r="C10" s="385">
        <v>43800</v>
      </c>
      <c r="D10" s="385">
        <v>43800</v>
      </c>
      <c r="E10" s="385">
        <v>43800</v>
      </c>
      <c r="F10" s="385">
        <v>43800</v>
      </c>
      <c r="G10" s="385">
        <v>43800</v>
      </c>
      <c r="H10" s="385">
        <v>43800</v>
      </c>
      <c r="I10" s="385">
        <v>43800</v>
      </c>
      <c r="J10" s="385">
        <v>43800</v>
      </c>
      <c r="K10" s="385">
        <v>43800</v>
      </c>
      <c r="L10" s="385">
        <v>43800</v>
      </c>
      <c r="M10" s="15"/>
      <c r="N10" s="20"/>
      <c r="O10" s="20"/>
      <c r="P10" s="20"/>
      <c r="Q10" s="20"/>
      <c r="R10" s="20"/>
      <c r="S10" s="28"/>
      <c r="T10" s="29"/>
      <c r="U10" s="725"/>
      <c r="V10" s="726"/>
      <c r="W10" s="726"/>
      <c r="X10" s="727"/>
      <c r="Y10" s="30"/>
      <c r="Z10" s="15"/>
    </row>
    <row r="11" spans="1:26" ht="12.75" customHeight="1">
      <c r="A11" s="424" t="s">
        <v>934</v>
      </c>
      <c r="B11" s="385"/>
      <c r="C11" s="385"/>
      <c r="D11" s="385">
        <v>43789</v>
      </c>
      <c r="E11" s="385"/>
      <c r="F11" s="385"/>
      <c r="G11" s="385"/>
      <c r="H11" s="385"/>
      <c r="I11" s="385"/>
      <c r="J11" s="385"/>
      <c r="K11" s="385"/>
      <c r="L11" s="385"/>
      <c r="M11" s="15"/>
      <c r="N11" s="20"/>
      <c r="O11" s="20"/>
      <c r="P11" s="20"/>
      <c r="Q11" s="20"/>
      <c r="R11" s="20"/>
      <c r="S11" s="32"/>
      <c r="T11" s="20"/>
      <c r="U11" s="725"/>
      <c r="V11" s="726"/>
      <c r="W11" s="726"/>
      <c r="X11" s="727"/>
      <c r="Y11" s="20"/>
      <c r="Z11" s="15"/>
    </row>
    <row r="12" spans="1:26" ht="12.75" customHeight="1">
      <c r="A12" s="99" t="s">
        <v>491</v>
      </c>
      <c r="B12" s="387" t="str">
        <f>'New Hire'!C10</f>
        <v>1</v>
      </c>
      <c r="C12" s="388" t="str">
        <f>'New Hire'!E10</f>
        <v>3</v>
      </c>
      <c r="D12" s="388" t="s">
        <v>965</v>
      </c>
      <c r="E12" s="388">
        <f>'New Hire'!G10</f>
        <v>4</v>
      </c>
      <c r="F12" s="388" t="str">
        <f>'New Hire'!H10</f>
        <v>C</v>
      </c>
      <c r="G12" s="388" t="str">
        <f>'New Hire'!J10</f>
        <v>S</v>
      </c>
      <c r="H12" s="388" t="str">
        <f>'New Hire'!K10</f>
        <v>P</v>
      </c>
      <c r="I12" s="388" t="str">
        <f>'New Hire'!L10</f>
        <v>1</v>
      </c>
      <c r="J12" s="388" t="str">
        <f>'New Hire'!M10</f>
        <v>1</v>
      </c>
      <c r="K12" s="388">
        <f>'New Hire'!N10</f>
        <v>3</v>
      </c>
      <c r="L12" s="389" t="str">
        <f>'New Hire'!P10</f>
        <v>C</v>
      </c>
      <c r="M12" s="15"/>
      <c r="N12" s="20"/>
      <c r="O12" s="20"/>
      <c r="P12" s="20"/>
      <c r="Q12" s="20"/>
      <c r="R12" s="20"/>
      <c r="S12" s="32"/>
      <c r="T12" s="20"/>
      <c r="U12" s="728"/>
      <c r="V12" s="729"/>
      <c r="W12" s="729"/>
      <c r="X12" s="730"/>
      <c r="Y12" s="20"/>
      <c r="Z12" s="15"/>
    </row>
    <row r="13" spans="1:26">
      <c r="A13" s="99" t="s">
        <v>492</v>
      </c>
      <c r="B13" s="390" t="str">
        <f>'New Hire'!C11</f>
        <v>;P</v>
      </c>
      <c r="C13" s="391" t="str">
        <f>'New Hire'!E11</f>
        <v>;E</v>
      </c>
      <c r="D13" s="391" t="str">
        <f>'New Hire'!F11</f>
        <v>;I</v>
      </c>
      <c r="E13" s="391" t="str">
        <f>'New Hire'!G11</f>
        <v>;P</v>
      </c>
      <c r="F13" s="391" t="str">
        <f>'New Hire'!H11</f>
        <v>;A</v>
      </c>
      <c r="G13" s="391" t="str">
        <f>'New Hire'!J11</f>
        <v>;V</v>
      </c>
      <c r="H13" s="391" t="str">
        <f>'New Hire'!K11</f>
        <v>;P</v>
      </c>
      <c r="I13" s="391" t="str">
        <f>'New Hire'!L11</f>
        <v>;A</v>
      </c>
      <c r="J13" s="391" t="str">
        <f>'New Hire'!M11</f>
        <v>;I</v>
      </c>
      <c r="K13" s="391" t="str">
        <f>'New Hire'!N11</f>
        <v>;P</v>
      </c>
      <c r="L13" s="392" t="str">
        <f>'New Hire'!P11</f>
        <v>;I</v>
      </c>
      <c r="M13" s="15"/>
      <c r="N13" s="20"/>
      <c r="O13" s="20"/>
      <c r="P13" s="20"/>
      <c r="Q13" s="20"/>
      <c r="R13" s="20"/>
      <c r="S13" s="23"/>
      <c r="T13" s="19"/>
      <c r="U13" s="19"/>
      <c r="V13" s="19"/>
      <c r="W13" s="19"/>
      <c r="X13" s="19"/>
      <c r="Y13" s="19"/>
      <c r="Z13" s="31"/>
    </row>
    <row r="14" spans="1:26">
      <c r="A14" s="100" t="s">
        <v>477</v>
      </c>
      <c r="B14" s="394">
        <f>'New Hire'!C26</f>
        <v>100</v>
      </c>
      <c r="C14" s="338">
        <f>'New Hire'!E26</f>
        <v>100</v>
      </c>
      <c r="D14" s="338">
        <f>'New Hire'!F26</f>
        <v>100</v>
      </c>
      <c r="E14" s="338">
        <f>'New Hire'!G26</f>
        <v>100</v>
      </c>
      <c r="F14" s="338">
        <f>'New Hire'!H26</f>
        <v>100</v>
      </c>
      <c r="G14" s="338">
        <f>'New Hire'!J26</f>
        <v>100</v>
      </c>
      <c r="H14" s="338">
        <f>'New Hire'!K26</f>
        <v>50</v>
      </c>
      <c r="I14" s="338">
        <f>'New Hire'!L26</f>
        <v>100</v>
      </c>
      <c r="J14" s="338">
        <f>'New Hire'!M26</f>
        <v>100</v>
      </c>
      <c r="K14" s="338">
        <f>'New Hire'!N26</f>
        <v>100</v>
      </c>
      <c r="L14" s="395">
        <f>'New Hire'!P26</f>
        <v>100</v>
      </c>
      <c r="M14" s="15"/>
      <c r="N14" s="20"/>
      <c r="O14" s="20"/>
      <c r="P14" s="20"/>
      <c r="Q14" s="20"/>
      <c r="R14" s="20"/>
      <c r="S14" s="23"/>
      <c r="T14" s="19"/>
      <c r="U14" s="19"/>
      <c r="V14" s="19"/>
      <c r="W14" s="19"/>
      <c r="X14" s="19"/>
      <c r="Y14" s="19"/>
      <c r="Z14" s="31"/>
    </row>
    <row r="15" spans="1:26">
      <c r="A15" s="424" t="s">
        <v>481</v>
      </c>
      <c r="B15" s="338">
        <f t="shared" ref="B15:L15" si="0">NETWORKDAYS(B10,$A$6)</f>
        <v>22</v>
      </c>
      <c r="C15" s="338">
        <f t="shared" si="0"/>
        <v>22</v>
      </c>
      <c r="D15" s="338">
        <v>0</v>
      </c>
      <c r="E15" s="338">
        <f t="shared" si="0"/>
        <v>22</v>
      </c>
      <c r="F15" s="338">
        <f t="shared" si="0"/>
        <v>22</v>
      </c>
      <c r="G15" s="338">
        <f t="shared" si="0"/>
        <v>22</v>
      </c>
      <c r="H15" s="338">
        <f t="shared" si="0"/>
        <v>22</v>
      </c>
      <c r="I15" s="338">
        <f t="shared" si="0"/>
        <v>22</v>
      </c>
      <c r="J15" s="338">
        <f t="shared" si="0"/>
        <v>22</v>
      </c>
      <c r="K15" s="338">
        <f t="shared" si="0"/>
        <v>22</v>
      </c>
      <c r="L15" s="338">
        <f t="shared" si="0"/>
        <v>22</v>
      </c>
      <c r="M15" s="15"/>
      <c r="N15" s="20"/>
      <c r="O15" s="20"/>
      <c r="P15" s="20"/>
      <c r="Q15" s="20"/>
      <c r="R15" s="20"/>
      <c r="S15" s="23"/>
      <c r="T15" s="19"/>
      <c r="U15" s="19"/>
      <c r="V15" s="19"/>
      <c r="W15" s="19"/>
      <c r="X15" s="19"/>
      <c r="Y15" s="19"/>
      <c r="Z15" s="31"/>
    </row>
    <row r="16" spans="1:26">
      <c r="A16" s="531" t="s">
        <v>1213</v>
      </c>
      <c r="B16" s="432"/>
      <c r="C16" s="432"/>
      <c r="D16" s="432">
        <f>NETWORKDAYS('UAT11-Nov'!E10,D11)</f>
        <v>14</v>
      </c>
      <c r="E16" s="432"/>
      <c r="F16" s="432"/>
      <c r="G16" s="432"/>
      <c r="H16" s="432"/>
      <c r="I16" s="432"/>
      <c r="J16" s="432"/>
      <c r="K16" s="432"/>
      <c r="L16" s="432"/>
      <c r="M16" s="15"/>
      <c r="N16" s="20"/>
      <c r="O16" s="20"/>
      <c r="P16" s="20"/>
      <c r="Q16" s="20"/>
      <c r="R16" s="20"/>
      <c r="S16" s="23"/>
      <c r="T16" s="19"/>
      <c r="U16" s="19"/>
      <c r="V16" s="19"/>
      <c r="W16" s="19"/>
      <c r="X16" s="19"/>
      <c r="Y16" s="19"/>
      <c r="Z16" s="31"/>
    </row>
    <row r="17" spans="1:26">
      <c r="A17" s="424" t="s">
        <v>843</v>
      </c>
      <c r="B17" s="338">
        <f t="shared" ref="B17:L17" si="1">B15</f>
        <v>22</v>
      </c>
      <c r="C17" s="338">
        <f t="shared" si="1"/>
        <v>22</v>
      </c>
      <c r="D17" s="338">
        <f t="shared" si="1"/>
        <v>0</v>
      </c>
      <c r="E17" s="338">
        <f t="shared" si="1"/>
        <v>22</v>
      </c>
      <c r="F17" s="338">
        <f t="shared" si="1"/>
        <v>22</v>
      </c>
      <c r="G17" s="338">
        <f t="shared" si="1"/>
        <v>22</v>
      </c>
      <c r="H17" s="338">
        <f t="shared" si="1"/>
        <v>22</v>
      </c>
      <c r="I17" s="338">
        <f t="shared" si="1"/>
        <v>22</v>
      </c>
      <c r="J17" s="338">
        <f t="shared" si="1"/>
        <v>22</v>
      </c>
      <c r="K17" s="338">
        <f t="shared" si="1"/>
        <v>22</v>
      </c>
      <c r="L17" s="338">
        <f t="shared" si="1"/>
        <v>22</v>
      </c>
      <c r="M17" s="15"/>
      <c r="N17" s="20"/>
      <c r="O17" s="20"/>
      <c r="P17" s="20"/>
      <c r="Q17" s="20"/>
      <c r="R17" s="20"/>
      <c r="S17" s="23"/>
      <c r="T17" s="19"/>
      <c r="U17" s="19"/>
      <c r="V17" s="19"/>
      <c r="W17" s="19"/>
      <c r="X17" s="19"/>
      <c r="Y17" s="19"/>
      <c r="Z17" s="31"/>
    </row>
    <row r="18" spans="1:26">
      <c r="A18" s="424" t="s">
        <v>639</v>
      </c>
      <c r="B18" s="338">
        <f>NETWORKDAYS(EOMONTH($A$6,-1)+1,EOMONTH($A$6,0))</f>
        <v>22</v>
      </c>
      <c r="C18" s="338">
        <f t="shared" ref="C18:L18" si="2">NETWORKDAYS(EOMONTH($A$6,-1)+1,EOMONTH($A$6,0))</f>
        <v>22</v>
      </c>
      <c r="D18" s="338">
        <f t="shared" si="2"/>
        <v>22</v>
      </c>
      <c r="E18" s="338">
        <f t="shared" si="2"/>
        <v>22</v>
      </c>
      <c r="F18" s="338">
        <f t="shared" si="2"/>
        <v>22</v>
      </c>
      <c r="G18" s="338">
        <f t="shared" si="2"/>
        <v>22</v>
      </c>
      <c r="H18" s="338">
        <f t="shared" si="2"/>
        <v>22</v>
      </c>
      <c r="I18" s="338">
        <f t="shared" si="2"/>
        <v>22</v>
      </c>
      <c r="J18" s="338">
        <f t="shared" si="2"/>
        <v>22</v>
      </c>
      <c r="K18" s="338">
        <f t="shared" si="2"/>
        <v>22</v>
      </c>
      <c r="L18" s="395">
        <f t="shared" si="2"/>
        <v>22</v>
      </c>
      <c r="M18" s="15"/>
      <c r="N18" s="20"/>
      <c r="O18" s="20"/>
      <c r="P18" s="20"/>
      <c r="Q18" s="20"/>
      <c r="R18" s="20"/>
      <c r="S18" s="23"/>
      <c r="T18" s="19"/>
      <c r="U18" s="19"/>
      <c r="V18" s="19"/>
      <c r="W18" s="19"/>
      <c r="X18" s="19"/>
      <c r="Y18" s="19"/>
      <c r="Z18" s="31"/>
    </row>
    <row r="19" spans="1:26">
      <c r="A19" s="424" t="s">
        <v>513</v>
      </c>
      <c r="B19" s="335">
        <f>_xlfn.DAYS($A$6,B10)+1</f>
        <v>31</v>
      </c>
      <c r="C19" s="335">
        <f>_xlfn.DAYS($A$6,C10)+1</f>
        <v>31</v>
      </c>
      <c r="D19" s="335">
        <v>0</v>
      </c>
      <c r="E19" s="335">
        <f t="shared" ref="E19:L19" si="3">_xlfn.DAYS($A$6,E10)+1</f>
        <v>31</v>
      </c>
      <c r="F19" s="335">
        <f t="shared" si="3"/>
        <v>31</v>
      </c>
      <c r="G19" s="335">
        <f t="shared" si="3"/>
        <v>31</v>
      </c>
      <c r="H19" s="335">
        <f t="shared" si="3"/>
        <v>31</v>
      </c>
      <c r="I19" s="335">
        <f t="shared" si="3"/>
        <v>31</v>
      </c>
      <c r="J19" s="335">
        <f t="shared" si="3"/>
        <v>31</v>
      </c>
      <c r="K19" s="335">
        <f t="shared" si="3"/>
        <v>31</v>
      </c>
      <c r="L19" s="335">
        <f t="shared" si="3"/>
        <v>31</v>
      </c>
      <c r="M19" s="15"/>
      <c r="N19" s="20"/>
      <c r="O19" s="20"/>
      <c r="P19" s="20"/>
      <c r="Q19" s="20"/>
      <c r="R19" s="20"/>
      <c r="S19" s="23"/>
      <c r="T19" s="19"/>
      <c r="U19" s="19"/>
      <c r="V19" s="19"/>
      <c r="W19" s="19"/>
      <c r="X19" s="19"/>
      <c r="Y19" s="19"/>
      <c r="Z19" s="31"/>
    </row>
    <row r="20" spans="1:26">
      <c r="A20" s="531" t="s">
        <v>1214</v>
      </c>
      <c r="B20" s="433"/>
      <c r="C20" s="433"/>
      <c r="D20" s="433">
        <f>_xlfn.DAYS(D11,'UAT11-Nov'!E10)</f>
        <v>19</v>
      </c>
      <c r="E20" s="433"/>
      <c r="F20" s="433"/>
      <c r="G20" s="433"/>
      <c r="H20" s="433"/>
      <c r="I20" s="433"/>
      <c r="J20" s="433"/>
      <c r="K20" s="433"/>
      <c r="L20" s="433"/>
      <c r="M20" s="15"/>
      <c r="N20" s="20"/>
      <c r="O20" s="20"/>
      <c r="P20" s="20"/>
      <c r="Q20" s="20"/>
      <c r="R20" s="20"/>
      <c r="S20" s="23"/>
      <c r="T20" s="19"/>
      <c r="U20" s="19"/>
      <c r="V20" s="19"/>
      <c r="W20" s="19"/>
      <c r="X20" s="19"/>
      <c r="Y20" s="19"/>
      <c r="Z20" s="31"/>
    </row>
    <row r="21" spans="1:26">
      <c r="A21" s="99" t="s">
        <v>533</v>
      </c>
      <c r="B21" s="336">
        <f>DATEDIF('New Hire'!C41,$A$6,"Y")</f>
        <v>10</v>
      </c>
      <c r="C21" s="337">
        <f>DATEDIF('New Hire'!E41,$A$6,"Y")</f>
        <v>0</v>
      </c>
      <c r="D21" s="337">
        <f>DATEDIF('New Hire'!F41,D11,"Y")</f>
        <v>4</v>
      </c>
      <c r="E21" s="337">
        <f>DATEDIF('New Hire'!G41,$A$6,"Y")</f>
        <v>10</v>
      </c>
      <c r="F21" s="337">
        <f>DATEDIF('New Hire'!H41,$A$6,"Y")</f>
        <v>0</v>
      </c>
      <c r="G21" s="337">
        <f>DATEDIF('New Hire'!J41,$A$6,"Y")</f>
        <v>0</v>
      </c>
      <c r="H21" s="337">
        <f>DATEDIF('New Hire'!K41,$A$6,"Y")</f>
        <v>0</v>
      </c>
      <c r="I21" s="337">
        <f>DATEDIF('New Hire'!L41,$A$6,"Y")</f>
        <v>10</v>
      </c>
      <c r="J21" s="337">
        <f>DATEDIF('New Hire'!M41,$A$6,"Y")</f>
        <v>5</v>
      </c>
      <c r="K21" s="337">
        <f>DATEDIF('New Hire'!N41,$A$6,"Y")</f>
        <v>0</v>
      </c>
      <c r="L21" s="393">
        <f>DATEDIF('New Hire'!P41,$A$6,"Y")</f>
        <v>0</v>
      </c>
      <c r="M21" s="15"/>
      <c r="N21" s="20"/>
      <c r="O21" s="20"/>
      <c r="P21" s="20"/>
      <c r="Q21" s="20"/>
      <c r="R21" s="20"/>
      <c r="S21" s="23"/>
      <c r="T21" s="19"/>
      <c r="U21" s="19"/>
      <c r="V21" s="19"/>
      <c r="W21" s="19"/>
      <c r="X21" s="19"/>
      <c r="Y21" s="19"/>
      <c r="Z21" s="31"/>
    </row>
    <row r="22" spans="1:26" ht="15.6">
      <c r="A22" s="99" t="s">
        <v>566</v>
      </c>
      <c r="B22" s="336" t="str">
        <f>'New Hire'!C54</f>
        <v>A</v>
      </c>
      <c r="C22" s="337" t="str">
        <f>'New Hire'!E54</f>
        <v>A</v>
      </c>
      <c r="D22" s="337" t="str">
        <f>'New Hire'!F54</f>
        <v>B</v>
      </c>
      <c r="E22" s="337" t="str">
        <f>'New Hire'!G54</f>
        <v>B</v>
      </c>
      <c r="F22" s="337" t="str">
        <f>'New Hire'!H54</f>
        <v>C</v>
      </c>
      <c r="G22" s="337" t="str">
        <f>'New Hire'!J54</f>
        <v>D</v>
      </c>
      <c r="H22" s="337" t="str">
        <f>'New Hire'!K54</f>
        <v>A</v>
      </c>
      <c r="I22" s="337" t="str">
        <f>'New Hire'!L54</f>
        <v>A</v>
      </c>
      <c r="J22" s="651" t="s">
        <v>1226</v>
      </c>
      <c r="K22" s="337" t="str">
        <f>'New Hire'!N54</f>
        <v>A</v>
      </c>
      <c r="L22" s="393" t="str">
        <f>'New Hire'!P54</f>
        <v>B</v>
      </c>
      <c r="M22" s="15"/>
      <c r="N22" s="20"/>
      <c r="O22" s="20"/>
      <c r="P22" s="20"/>
      <c r="Q22" s="20"/>
      <c r="R22" s="20"/>
      <c r="S22" s="40"/>
      <c r="T22" s="41"/>
      <c r="U22" s="19"/>
      <c r="V22" s="19"/>
      <c r="W22" s="19"/>
      <c r="X22" s="19"/>
      <c r="Y22" s="16"/>
      <c r="Z22" s="17"/>
    </row>
    <row r="23" spans="1:26">
      <c r="A23" s="98" t="s">
        <v>107</v>
      </c>
      <c r="B23" s="91">
        <v>1</v>
      </c>
      <c r="C23" s="89">
        <v>0</v>
      </c>
      <c r="D23" s="89">
        <v>3</v>
      </c>
      <c r="E23" s="89">
        <v>0</v>
      </c>
      <c r="F23" s="89">
        <v>0</v>
      </c>
      <c r="G23" s="89">
        <v>0</v>
      </c>
      <c r="H23" s="89">
        <v>0</v>
      </c>
      <c r="I23" s="89">
        <v>0</v>
      </c>
      <c r="J23" s="89">
        <v>0</v>
      </c>
      <c r="K23" s="89">
        <v>0</v>
      </c>
      <c r="L23" s="398">
        <v>0</v>
      </c>
      <c r="M23" s="15"/>
      <c r="N23" s="66"/>
      <c r="O23" s="66"/>
      <c r="P23" s="66"/>
      <c r="Q23" s="66"/>
      <c r="R23" s="66"/>
      <c r="S23" s="50"/>
      <c r="T23" s="44"/>
      <c r="U23" s="44"/>
      <c r="V23" s="44"/>
      <c r="W23" s="44"/>
      <c r="X23" s="44"/>
      <c r="Y23" s="44"/>
      <c r="Z23" s="51"/>
    </row>
    <row r="24" spans="1:26">
      <c r="A24" s="97" t="s">
        <v>113</v>
      </c>
      <c r="B24" s="325">
        <f>3600000*B23</f>
        <v>3600000</v>
      </c>
      <c r="C24" s="90">
        <f t="shared" ref="C24:L24" si="4">3600000*C23</f>
        <v>0</v>
      </c>
      <c r="D24" s="90">
        <f t="shared" si="4"/>
        <v>10800000</v>
      </c>
      <c r="E24" s="90">
        <f t="shared" si="4"/>
        <v>0</v>
      </c>
      <c r="F24" s="90">
        <f t="shared" si="4"/>
        <v>0</v>
      </c>
      <c r="G24" s="90">
        <f t="shared" si="4"/>
        <v>0</v>
      </c>
      <c r="H24" s="90">
        <f t="shared" si="4"/>
        <v>0</v>
      </c>
      <c r="I24" s="90">
        <f t="shared" si="4"/>
        <v>0</v>
      </c>
      <c r="J24" s="90">
        <f t="shared" si="4"/>
        <v>0</v>
      </c>
      <c r="K24" s="90">
        <f t="shared" si="4"/>
        <v>0</v>
      </c>
      <c r="L24" s="399">
        <f t="shared" si="4"/>
        <v>0</v>
      </c>
      <c r="M24" s="15"/>
      <c r="N24" s="66"/>
      <c r="O24" s="66"/>
      <c r="P24" s="66"/>
      <c r="Q24" s="66"/>
      <c r="R24" s="66"/>
      <c r="S24" s="118" t="s">
        <v>57</v>
      </c>
      <c r="T24" s="119" t="s">
        <v>67</v>
      </c>
      <c r="U24" s="119" t="s">
        <v>69</v>
      </c>
      <c r="V24" s="119" t="s">
        <v>70</v>
      </c>
      <c r="W24" s="119" t="s">
        <v>56</v>
      </c>
      <c r="X24" s="119" t="s">
        <v>54</v>
      </c>
      <c r="Y24" s="119" t="s">
        <v>58</v>
      </c>
      <c r="Z24" s="120" t="s">
        <v>59</v>
      </c>
    </row>
    <row r="25" spans="1:26">
      <c r="A25" s="97" t="s">
        <v>114</v>
      </c>
      <c r="B25" s="326">
        <v>9000000</v>
      </c>
      <c r="C25" s="90">
        <v>9000000</v>
      </c>
      <c r="D25" s="90">
        <v>9000000</v>
      </c>
      <c r="E25" s="90">
        <v>9000000</v>
      </c>
      <c r="F25" s="90">
        <v>9000000</v>
      </c>
      <c r="G25" s="90">
        <v>9000000</v>
      </c>
      <c r="H25" s="90">
        <v>9000000</v>
      </c>
      <c r="I25" s="90">
        <v>9000000</v>
      </c>
      <c r="J25" s="90">
        <v>9000000</v>
      </c>
      <c r="K25" s="90">
        <v>9000000</v>
      </c>
      <c r="L25" s="399">
        <v>9000000</v>
      </c>
      <c r="M25" s="15"/>
      <c r="N25" s="66"/>
      <c r="O25" s="66"/>
      <c r="P25" s="66"/>
      <c r="Q25" s="66"/>
      <c r="R25" s="66"/>
      <c r="S25" s="356" t="s">
        <v>2</v>
      </c>
      <c r="T25" s="357">
        <v>91999901</v>
      </c>
      <c r="U25" s="358" t="s">
        <v>507</v>
      </c>
      <c r="V25" s="358" t="s">
        <v>508</v>
      </c>
      <c r="W25" s="359" t="s">
        <v>509</v>
      </c>
      <c r="X25" s="360">
        <v>8000000</v>
      </c>
      <c r="Y25" s="358"/>
      <c r="Z25" s="361"/>
    </row>
    <row r="26" spans="1:26" ht="15.6">
      <c r="A26" s="413" t="s">
        <v>53</v>
      </c>
      <c r="B26" s="64"/>
      <c r="C26" s="65"/>
      <c r="D26" s="66"/>
      <c r="E26" s="65"/>
      <c r="F26" s="65"/>
      <c r="G26" s="65"/>
      <c r="H26" s="65"/>
      <c r="I26" s="66"/>
      <c r="J26" s="66"/>
      <c r="K26" s="66"/>
      <c r="L26" s="66"/>
      <c r="M26" s="343"/>
      <c r="N26" s="66"/>
      <c r="O26" s="66"/>
      <c r="P26" s="66"/>
      <c r="Q26" s="66"/>
      <c r="R26" s="66"/>
      <c r="S26" s="356" t="s">
        <v>2</v>
      </c>
      <c r="T26" s="357">
        <v>91999902</v>
      </c>
      <c r="U26" s="358" t="s">
        <v>507</v>
      </c>
      <c r="V26" s="358" t="s">
        <v>508</v>
      </c>
      <c r="W26" s="359" t="s">
        <v>509</v>
      </c>
      <c r="X26" s="360">
        <v>8000000</v>
      </c>
      <c r="Y26" s="358"/>
      <c r="Z26" s="361"/>
    </row>
    <row r="27" spans="1:26">
      <c r="A27" s="414" t="s">
        <v>55</v>
      </c>
      <c r="B27" s="64"/>
      <c r="C27" s="65"/>
      <c r="D27" s="66"/>
      <c r="E27" s="65"/>
      <c r="F27" s="65"/>
      <c r="G27" s="65"/>
      <c r="H27" s="65"/>
      <c r="I27" s="66"/>
      <c r="J27" s="66"/>
      <c r="K27" s="66"/>
      <c r="L27" s="382"/>
      <c r="M27" s="382"/>
      <c r="N27" s="66"/>
      <c r="O27" s="66"/>
      <c r="P27" s="66"/>
      <c r="Q27" s="66"/>
      <c r="R27" s="66"/>
      <c r="S27" s="356" t="s">
        <v>2</v>
      </c>
      <c r="T27" s="357">
        <v>91999904</v>
      </c>
      <c r="U27" s="358" t="s">
        <v>511</v>
      </c>
      <c r="V27" s="358" t="s">
        <v>508</v>
      </c>
      <c r="W27" s="359" t="s">
        <v>509</v>
      </c>
      <c r="X27" s="360">
        <v>8000000</v>
      </c>
      <c r="Y27" s="358"/>
      <c r="Z27" s="361"/>
    </row>
    <row r="28" spans="1:26">
      <c r="A28" s="445" t="s">
        <v>479</v>
      </c>
      <c r="B28" s="332">
        <f t="shared" ref="B28:I28" si="5">IF(OR(B22="A",B22="B"),IF(B12&lt;&gt;"C",ROUND(B127*B87,0),0),IF(B12&lt;&gt;"C",ROUND(B140*$B$4,0),0))</f>
        <v>7000000</v>
      </c>
      <c r="C28" s="332">
        <f t="shared" si="5"/>
        <v>11000000</v>
      </c>
      <c r="D28" s="332">
        <f t="shared" si="5"/>
        <v>0</v>
      </c>
      <c r="E28" s="332">
        <f t="shared" si="5"/>
        <v>16000000</v>
      </c>
      <c r="F28" s="332">
        <f t="shared" si="5"/>
        <v>0</v>
      </c>
      <c r="G28" s="332">
        <f t="shared" si="5"/>
        <v>90499500</v>
      </c>
      <c r="H28" s="332">
        <f t="shared" si="5"/>
        <v>55000000</v>
      </c>
      <c r="I28" s="332">
        <f t="shared" si="5"/>
        <v>10000000</v>
      </c>
      <c r="J28" s="332">
        <f>ROUND(J127*J87,0)</f>
        <v>11500000</v>
      </c>
      <c r="K28" s="332">
        <f>IF(OR(K22="A",K22="B"),IF(K12&lt;&gt;"C",ROUND(K127*K87,0),0),IF(K12&lt;&gt;"C",ROUND(K140*$B$4,0),0))</f>
        <v>7000000</v>
      </c>
      <c r="L28" s="332">
        <f>IF(OR(L22="A",L22="B"),IF(L12&lt;&gt;"C",ROUND(L127*L87,0),0),IF(L12&lt;&gt;"C",ROUND(L140*$B$4,0),0))</f>
        <v>0</v>
      </c>
      <c r="M28" s="355">
        <f t="shared" ref="M28:M33" si="6">SUM(B28:L28)</f>
        <v>207999500</v>
      </c>
      <c r="N28" s="90" t="s">
        <v>525</v>
      </c>
      <c r="O28" s="90" t="s">
        <v>525</v>
      </c>
      <c r="P28" s="90" t="s">
        <v>525</v>
      </c>
      <c r="Q28" s="90" t="s">
        <v>525</v>
      </c>
      <c r="R28" s="90" t="s">
        <v>525</v>
      </c>
      <c r="S28" s="356" t="s">
        <v>2</v>
      </c>
      <c r="T28" s="357">
        <v>91999905</v>
      </c>
      <c r="U28" s="358" t="s">
        <v>507</v>
      </c>
      <c r="V28" s="358" t="s">
        <v>508</v>
      </c>
      <c r="W28" s="359" t="s">
        <v>509</v>
      </c>
      <c r="X28" s="360">
        <v>8000000</v>
      </c>
      <c r="Y28" s="358"/>
      <c r="Z28" s="361"/>
    </row>
    <row r="29" spans="1:26">
      <c r="A29" s="463" t="s">
        <v>636</v>
      </c>
      <c r="B29" s="438"/>
      <c r="C29" s="438"/>
      <c r="D29" s="438">
        <f>ROUND(D127*D88,0)-'UAT11-Nov'!E26</f>
        <v>-3666667</v>
      </c>
      <c r="E29" s="438"/>
      <c r="F29" s="438"/>
      <c r="G29" s="438"/>
      <c r="H29" s="438"/>
      <c r="I29" s="438"/>
      <c r="J29" s="438"/>
      <c r="K29" s="438"/>
      <c r="L29" s="438"/>
      <c r="M29" s="464">
        <f t="shared" si="6"/>
        <v>-3666667</v>
      </c>
      <c r="N29" s="435" t="s">
        <v>525</v>
      </c>
      <c r="O29" s="435" t="s">
        <v>525</v>
      </c>
      <c r="P29" s="435" t="s">
        <v>525</v>
      </c>
      <c r="Q29" s="435" t="s">
        <v>525</v>
      </c>
      <c r="R29" s="435" t="s">
        <v>525</v>
      </c>
      <c r="S29" s="356" t="s">
        <v>2</v>
      </c>
      <c r="T29" s="357">
        <v>91999906</v>
      </c>
      <c r="U29" s="358" t="s">
        <v>507</v>
      </c>
      <c r="V29" s="358" t="s">
        <v>508</v>
      </c>
      <c r="W29" s="359" t="s">
        <v>509</v>
      </c>
      <c r="X29" s="360">
        <v>8000000</v>
      </c>
      <c r="Y29" s="358"/>
      <c r="Z29" s="361"/>
    </row>
    <row r="30" spans="1:26">
      <c r="A30" s="451" t="s">
        <v>496</v>
      </c>
      <c r="B30" s="332">
        <f t="shared" ref="B30:L30" si="7">IF(OR(B22="A",B22="B"),ROUND(B129*B87,0),ROUND(B129*B87*$B$4,0))</f>
        <v>700000</v>
      </c>
      <c r="C30" s="332">
        <f t="shared" si="7"/>
        <v>1100000</v>
      </c>
      <c r="D30" s="332">
        <f t="shared" si="7"/>
        <v>0</v>
      </c>
      <c r="E30" s="332">
        <f t="shared" si="7"/>
        <v>0</v>
      </c>
      <c r="F30" s="332">
        <f t="shared" si="7"/>
        <v>0</v>
      </c>
      <c r="G30" s="332">
        <f t="shared" si="7"/>
        <v>0</v>
      </c>
      <c r="H30" s="332">
        <f t="shared" si="7"/>
        <v>5500000</v>
      </c>
      <c r="I30" s="332">
        <f t="shared" si="7"/>
        <v>1000000</v>
      </c>
      <c r="J30" s="332">
        <f t="shared" si="7"/>
        <v>0</v>
      </c>
      <c r="K30" s="332">
        <f t="shared" si="7"/>
        <v>1400000</v>
      </c>
      <c r="L30" s="400">
        <f t="shared" si="7"/>
        <v>0</v>
      </c>
      <c r="M30" s="355">
        <f t="shared" si="6"/>
        <v>9700000</v>
      </c>
      <c r="N30" s="379" t="s">
        <v>525</v>
      </c>
      <c r="O30" s="379" t="s">
        <v>525</v>
      </c>
      <c r="P30" s="379" t="s">
        <v>525</v>
      </c>
      <c r="Q30" s="379" t="s">
        <v>525</v>
      </c>
      <c r="R30" s="90" t="s">
        <v>525</v>
      </c>
      <c r="S30" s="356" t="s">
        <v>2</v>
      </c>
      <c r="T30" s="357">
        <v>91999901</v>
      </c>
      <c r="U30" s="358" t="s">
        <v>507</v>
      </c>
      <c r="V30" s="358" t="s">
        <v>508</v>
      </c>
      <c r="W30" s="359" t="s">
        <v>537</v>
      </c>
      <c r="X30" s="360">
        <v>7000000</v>
      </c>
      <c r="Y30" s="358"/>
      <c r="Z30" s="361"/>
    </row>
    <row r="31" spans="1:26">
      <c r="A31" s="451" t="s">
        <v>569</v>
      </c>
      <c r="B31" s="332">
        <f t="shared" ref="B31:L31" si="8">IF(OR(B22="A",B22="B"),ROUND(B130*B87,0),ROUND(B130*B87*$B$4,0))</f>
        <v>1400000</v>
      </c>
      <c r="C31" s="332">
        <f t="shared" si="8"/>
        <v>2350000</v>
      </c>
      <c r="D31" s="332">
        <f t="shared" si="8"/>
        <v>0</v>
      </c>
      <c r="E31" s="332">
        <f t="shared" si="8"/>
        <v>0</v>
      </c>
      <c r="F31" s="332">
        <f t="shared" si="8"/>
        <v>0</v>
      </c>
      <c r="G31" s="332">
        <f t="shared" si="8"/>
        <v>0</v>
      </c>
      <c r="H31" s="332">
        <f t="shared" si="8"/>
        <v>11000000</v>
      </c>
      <c r="I31" s="332">
        <f t="shared" si="8"/>
        <v>2000000</v>
      </c>
      <c r="J31" s="332">
        <f t="shared" si="8"/>
        <v>0</v>
      </c>
      <c r="K31" s="332">
        <f t="shared" si="8"/>
        <v>2100000</v>
      </c>
      <c r="L31" s="400">
        <f t="shared" si="8"/>
        <v>0</v>
      </c>
      <c r="M31" s="355">
        <f t="shared" si="6"/>
        <v>18850000</v>
      </c>
      <c r="N31" s="379" t="s">
        <v>525</v>
      </c>
      <c r="O31" s="379" t="s">
        <v>525</v>
      </c>
      <c r="P31" s="379" t="s">
        <v>525</v>
      </c>
      <c r="Q31" s="379" t="s">
        <v>525</v>
      </c>
      <c r="R31" s="90" t="s">
        <v>525</v>
      </c>
      <c r="S31" s="356" t="s">
        <v>2</v>
      </c>
      <c r="T31" s="357">
        <v>91999902</v>
      </c>
      <c r="U31" s="358" t="s">
        <v>507</v>
      </c>
      <c r="V31" s="358" t="s">
        <v>508</v>
      </c>
      <c r="W31" s="359" t="s">
        <v>537</v>
      </c>
      <c r="X31" s="360">
        <v>7000000</v>
      </c>
      <c r="Y31" s="358"/>
      <c r="Z31" s="361"/>
    </row>
    <row r="32" spans="1:26">
      <c r="A32" s="445" t="s">
        <v>427</v>
      </c>
      <c r="B32" s="332"/>
      <c r="C32" s="332"/>
      <c r="D32" s="340"/>
      <c r="E32" s="332"/>
      <c r="F32" s="332">
        <f>ROUND(F128*B4,0)*Z46+ROUND(F128*B4,0)*Z47</f>
        <v>29006250</v>
      </c>
      <c r="G32" s="332"/>
      <c r="H32" s="332"/>
      <c r="I32" s="340"/>
      <c r="J32" s="340"/>
      <c r="K32" s="340"/>
      <c r="L32" s="401">
        <f>ROUND(L128*Z48,0)+ROUND(L128*Z49,0)</f>
        <v>4500000</v>
      </c>
      <c r="M32" s="355">
        <f t="shared" si="6"/>
        <v>33506250</v>
      </c>
      <c r="N32" s="379" t="s">
        <v>525</v>
      </c>
      <c r="O32" s="379" t="s">
        <v>525</v>
      </c>
      <c r="P32" s="379"/>
      <c r="Q32" s="379"/>
      <c r="R32" s="379"/>
      <c r="S32" s="356" t="s">
        <v>2</v>
      </c>
      <c r="T32" s="357">
        <v>91999904</v>
      </c>
      <c r="U32" s="358" t="s">
        <v>511</v>
      </c>
      <c r="V32" s="358" t="s">
        <v>508</v>
      </c>
      <c r="W32" s="359" t="s">
        <v>537</v>
      </c>
      <c r="X32" s="360">
        <v>7000000</v>
      </c>
      <c r="Y32" s="358"/>
      <c r="Z32" s="361"/>
    </row>
    <row r="33" spans="1:28">
      <c r="A33" s="506" t="s">
        <v>710</v>
      </c>
      <c r="B33" s="510"/>
      <c r="C33" s="438"/>
      <c r="D33" s="438"/>
      <c r="E33" s="438"/>
      <c r="F33" s="438"/>
      <c r="G33" s="438"/>
      <c r="H33" s="438"/>
      <c r="I33" s="438"/>
      <c r="J33" s="438"/>
      <c r="K33" s="438">
        <f>K78+K79</f>
        <v>1615400</v>
      </c>
      <c r="L33" s="511"/>
      <c r="M33" s="464">
        <f t="shared" si="6"/>
        <v>1615400</v>
      </c>
      <c r="N33" s="446" t="s">
        <v>525</v>
      </c>
      <c r="O33" s="446" t="s">
        <v>525</v>
      </c>
      <c r="P33" s="435"/>
      <c r="Q33" s="435"/>
      <c r="R33" s="435"/>
      <c r="S33" s="356" t="s">
        <v>2</v>
      </c>
      <c r="T33" s="357">
        <v>91999905</v>
      </c>
      <c r="U33" s="358" t="s">
        <v>507</v>
      </c>
      <c r="V33" s="358" t="s">
        <v>508</v>
      </c>
      <c r="W33" s="359" t="s">
        <v>537</v>
      </c>
      <c r="X33" s="360">
        <v>7000000</v>
      </c>
      <c r="Y33" s="358"/>
      <c r="Z33" s="361"/>
    </row>
    <row r="34" spans="1:28">
      <c r="A34" s="415"/>
      <c r="B34" s="452"/>
      <c r="C34" s="452"/>
      <c r="D34" s="452"/>
      <c r="E34" s="452"/>
      <c r="F34" s="452"/>
      <c r="G34" s="452"/>
      <c r="H34" s="452"/>
      <c r="I34" s="452"/>
      <c r="J34" s="452"/>
      <c r="K34" s="452"/>
      <c r="L34" s="401"/>
      <c r="M34" s="542"/>
      <c r="N34" s="543"/>
      <c r="O34" s="543"/>
      <c r="P34" s="543"/>
      <c r="Q34" s="543"/>
      <c r="R34" s="543"/>
      <c r="S34" s="356" t="s">
        <v>2</v>
      </c>
      <c r="T34" s="357">
        <v>91999906</v>
      </c>
      <c r="U34" s="358" t="s">
        <v>507</v>
      </c>
      <c r="V34" s="358" t="s">
        <v>508</v>
      </c>
      <c r="W34" s="359" t="s">
        <v>537</v>
      </c>
      <c r="X34" s="360">
        <v>7000000</v>
      </c>
      <c r="Y34" s="358"/>
      <c r="Z34" s="361"/>
    </row>
    <row r="35" spans="1:28">
      <c r="A35" s="528" t="s">
        <v>572</v>
      </c>
      <c r="B35" s="332"/>
      <c r="C35" s="332"/>
      <c r="D35" s="340"/>
      <c r="E35" s="332"/>
      <c r="F35" s="332"/>
      <c r="G35" s="332"/>
      <c r="H35" s="332"/>
      <c r="I35" s="340"/>
      <c r="J35" s="340"/>
      <c r="K35" s="340"/>
      <c r="L35" s="401"/>
      <c r="M35" s="355"/>
      <c r="N35" s="543"/>
      <c r="O35" s="543"/>
      <c r="P35" s="543"/>
      <c r="Q35" s="543"/>
      <c r="R35" s="543"/>
      <c r="S35" s="356" t="s">
        <v>2</v>
      </c>
      <c r="T35" s="357">
        <v>91999907</v>
      </c>
      <c r="U35" s="358" t="s">
        <v>603</v>
      </c>
      <c r="V35" s="358" t="s">
        <v>508</v>
      </c>
      <c r="W35" s="359">
        <v>7065</v>
      </c>
      <c r="X35" s="360">
        <v>100</v>
      </c>
      <c r="Y35" s="447" t="s">
        <v>542</v>
      </c>
      <c r="Z35" s="448"/>
    </row>
    <row r="36" spans="1:28">
      <c r="A36" s="445" t="s">
        <v>512</v>
      </c>
      <c r="B36" s="332">
        <f t="shared" ref="B36:L36" si="9">IF(OR(B22="A",B22="B"),B91,ROUND(B91*B14%,0))</f>
        <v>679452</v>
      </c>
      <c r="C36" s="332">
        <f t="shared" si="9"/>
        <v>0</v>
      </c>
      <c r="D36" s="332">
        <f t="shared" si="9"/>
        <v>0</v>
      </c>
      <c r="E36" s="332">
        <f t="shared" si="9"/>
        <v>679452</v>
      </c>
      <c r="F36" s="332">
        <f t="shared" si="9"/>
        <v>0</v>
      </c>
      <c r="G36" s="332">
        <f t="shared" si="9"/>
        <v>0</v>
      </c>
      <c r="H36" s="332">
        <f t="shared" si="9"/>
        <v>0</v>
      </c>
      <c r="I36" s="332">
        <f t="shared" si="9"/>
        <v>0</v>
      </c>
      <c r="J36" s="332">
        <f t="shared" si="9"/>
        <v>0</v>
      </c>
      <c r="K36" s="332">
        <f t="shared" si="9"/>
        <v>0</v>
      </c>
      <c r="L36" s="400">
        <f t="shared" si="9"/>
        <v>0</v>
      </c>
      <c r="M36" s="346">
        <f>SUM(B36:L36)</f>
        <v>1358904</v>
      </c>
      <c r="N36" s="379"/>
      <c r="O36" s="379" t="s">
        <v>525</v>
      </c>
      <c r="P36" s="543"/>
      <c r="Q36" s="543"/>
      <c r="R36" s="543"/>
      <c r="S36" s="356" t="s">
        <v>2</v>
      </c>
      <c r="T36" s="357">
        <v>91999908</v>
      </c>
      <c r="U36" s="358" t="s">
        <v>507</v>
      </c>
      <c r="V36" s="358" t="s">
        <v>508</v>
      </c>
      <c r="W36" s="359">
        <v>7065</v>
      </c>
      <c r="X36" s="360">
        <v>100</v>
      </c>
      <c r="Y36" s="447" t="s">
        <v>542</v>
      </c>
      <c r="Z36" s="448"/>
    </row>
    <row r="37" spans="1:28">
      <c r="A37" s="463" t="s">
        <v>1218</v>
      </c>
      <c r="B37" s="438"/>
      <c r="C37" s="438"/>
      <c r="D37" s="438">
        <f>D92</f>
        <v>-241096</v>
      </c>
      <c r="E37" s="438"/>
      <c r="F37" s="438"/>
      <c r="G37" s="438"/>
      <c r="H37" s="438"/>
      <c r="I37" s="438"/>
      <c r="J37" s="438"/>
      <c r="K37" s="438"/>
      <c r="L37" s="511"/>
      <c r="M37" s="504"/>
      <c r="N37" s="446"/>
      <c r="O37" s="446" t="s">
        <v>525</v>
      </c>
      <c r="P37" s="446"/>
      <c r="Q37" s="446"/>
      <c r="R37" s="446"/>
      <c r="S37" s="356" t="s">
        <v>2</v>
      </c>
      <c r="T37" s="357">
        <v>91999907</v>
      </c>
      <c r="U37" s="358" t="s">
        <v>603</v>
      </c>
      <c r="V37" s="358" t="s">
        <v>508</v>
      </c>
      <c r="W37" s="359">
        <v>7070</v>
      </c>
      <c r="X37" s="360">
        <v>200</v>
      </c>
      <c r="Y37" s="447" t="s">
        <v>542</v>
      </c>
      <c r="Z37" s="448"/>
    </row>
    <row r="38" spans="1:28">
      <c r="A38" s="445" t="s">
        <v>534</v>
      </c>
      <c r="B38" s="332">
        <f t="shared" ref="B38:L38" si="10">IF(OR(B22="A",B22="B"),ROUND(2369796/365*B19,0),ROUND(ROUND(2466.55*$B$4,0)/365*B19,0))*B23*IF(B21&lt;3,0,IF(B21&lt;6,50%,100%))</f>
        <v>201270</v>
      </c>
      <c r="C38" s="332">
        <f t="shared" si="10"/>
        <v>0</v>
      </c>
      <c r="D38" s="332">
        <f t="shared" si="10"/>
        <v>0</v>
      </c>
      <c r="E38" s="332">
        <f t="shared" si="10"/>
        <v>0</v>
      </c>
      <c r="F38" s="332">
        <f t="shared" si="10"/>
        <v>0</v>
      </c>
      <c r="G38" s="332">
        <f t="shared" si="10"/>
        <v>0</v>
      </c>
      <c r="H38" s="332">
        <f t="shared" si="10"/>
        <v>0</v>
      </c>
      <c r="I38" s="332">
        <f t="shared" si="10"/>
        <v>0</v>
      </c>
      <c r="J38" s="332">
        <f t="shared" si="10"/>
        <v>0</v>
      </c>
      <c r="K38" s="332">
        <f t="shared" si="10"/>
        <v>0</v>
      </c>
      <c r="L38" s="400">
        <f t="shared" si="10"/>
        <v>0</v>
      </c>
      <c r="M38" s="346">
        <f>SUM(B38:L38)</f>
        <v>201270</v>
      </c>
      <c r="N38" s="379"/>
      <c r="O38" s="379" t="s">
        <v>525</v>
      </c>
      <c r="P38" s="543"/>
      <c r="Q38" s="543"/>
      <c r="R38" s="543"/>
      <c r="S38" s="356" t="s">
        <v>2</v>
      </c>
      <c r="T38" s="357">
        <v>91999908</v>
      </c>
      <c r="U38" s="358" t="s">
        <v>507</v>
      </c>
      <c r="V38" s="358" t="s">
        <v>508</v>
      </c>
      <c r="W38" s="359">
        <v>7070</v>
      </c>
      <c r="X38" s="360">
        <v>200</v>
      </c>
      <c r="Y38" s="447" t="s">
        <v>542</v>
      </c>
      <c r="Z38" s="448"/>
    </row>
    <row r="39" spans="1:28">
      <c r="A39" s="463" t="s">
        <v>1219</v>
      </c>
      <c r="B39" s="438"/>
      <c r="C39" s="438"/>
      <c r="D39" s="438">
        <f>ROUND(2369796/365*D20,0)-'UAT11-Nov'!E40</f>
        <v>-168808</v>
      </c>
      <c r="E39" s="438"/>
      <c r="F39" s="438"/>
      <c r="G39" s="438"/>
      <c r="H39" s="438"/>
      <c r="I39" s="438"/>
      <c r="J39" s="438"/>
      <c r="K39" s="438"/>
      <c r="L39" s="511"/>
      <c r="M39" s="504"/>
      <c r="N39" s="446"/>
      <c r="O39" s="446" t="s">
        <v>525</v>
      </c>
      <c r="P39" s="446"/>
      <c r="Q39" s="446"/>
      <c r="R39" s="446"/>
      <c r="S39" s="356" t="s">
        <v>2</v>
      </c>
      <c r="T39" s="357">
        <v>91999901</v>
      </c>
      <c r="U39" s="358" t="s">
        <v>507</v>
      </c>
      <c r="V39" s="358" t="s">
        <v>508</v>
      </c>
      <c r="W39" s="359">
        <v>9140</v>
      </c>
      <c r="X39" s="360"/>
      <c r="Y39" s="750">
        <v>7.5999999999999998E-2</v>
      </c>
      <c r="Z39" s="448"/>
    </row>
    <row r="40" spans="1:28">
      <c r="A40" s="412"/>
      <c r="B40" s="331"/>
      <c r="C40" s="332"/>
      <c r="D40" s="340"/>
      <c r="E40" s="368"/>
      <c r="F40" s="368"/>
      <c r="G40" s="368"/>
      <c r="H40" s="368"/>
      <c r="I40" s="340"/>
      <c r="J40" s="340"/>
      <c r="K40" s="340"/>
      <c r="L40" s="403"/>
      <c r="M40" s="355"/>
      <c r="N40" s="379"/>
      <c r="O40" s="543"/>
      <c r="P40" s="543"/>
      <c r="Q40" s="543"/>
      <c r="R40" s="543"/>
      <c r="S40" s="356" t="s">
        <v>2</v>
      </c>
      <c r="T40" s="357">
        <v>91999907</v>
      </c>
      <c r="U40" s="358" t="s">
        <v>507</v>
      </c>
      <c r="V40" s="358" t="s">
        <v>508</v>
      </c>
      <c r="W40" s="359">
        <v>9140</v>
      </c>
      <c r="X40" s="360"/>
      <c r="Y40" s="750">
        <v>0.56000000000000005</v>
      </c>
      <c r="Z40" s="448"/>
    </row>
    <row r="41" spans="1:28">
      <c r="A41" s="450" t="s">
        <v>61</v>
      </c>
      <c r="B41" s="365">
        <f t="shared" ref="B41:L41" si="11">SUM(B28:B34)</f>
        <v>9100000</v>
      </c>
      <c r="C41" s="366">
        <f t="shared" si="11"/>
        <v>14450000</v>
      </c>
      <c r="D41" s="366">
        <f t="shared" si="11"/>
        <v>-3666667</v>
      </c>
      <c r="E41" s="366">
        <f t="shared" si="11"/>
        <v>16000000</v>
      </c>
      <c r="F41" s="366">
        <f t="shared" si="11"/>
        <v>29006250</v>
      </c>
      <c r="G41" s="366">
        <f t="shared" si="11"/>
        <v>90499500</v>
      </c>
      <c r="H41" s="366">
        <f t="shared" si="11"/>
        <v>71500000</v>
      </c>
      <c r="I41" s="366">
        <f t="shared" si="11"/>
        <v>13000000</v>
      </c>
      <c r="J41" s="366">
        <f t="shared" si="11"/>
        <v>11500000</v>
      </c>
      <c r="K41" s="366">
        <f t="shared" si="11"/>
        <v>12115400</v>
      </c>
      <c r="L41" s="496">
        <f t="shared" si="11"/>
        <v>4500000</v>
      </c>
      <c r="M41" s="355">
        <f>SUM(B41:L41)</f>
        <v>268004483</v>
      </c>
      <c r="N41" s="543"/>
      <c r="O41" s="379"/>
      <c r="P41" s="379"/>
      <c r="Q41" s="379"/>
      <c r="R41" s="379"/>
      <c r="S41" s="356" t="s">
        <v>773</v>
      </c>
      <c r="T41" s="357">
        <v>91999905</v>
      </c>
      <c r="U41" s="358" t="s">
        <v>507</v>
      </c>
      <c r="V41" s="358" t="s">
        <v>508</v>
      </c>
      <c r="W41" s="359" t="s">
        <v>649</v>
      </c>
      <c r="X41" s="360"/>
      <c r="Y41" s="447">
        <v>1</v>
      </c>
      <c r="Z41" s="448"/>
    </row>
    <row r="42" spans="1:28">
      <c r="A42" s="418"/>
      <c r="B42" s="331"/>
      <c r="C42" s="332"/>
      <c r="D42" s="340"/>
      <c r="E42" s="332"/>
      <c r="F42" s="332"/>
      <c r="G42" s="332"/>
      <c r="H42" s="332"/>
      <c r="I42" s="340"/>
      <c r="J42" s="340"/>
      <c r="K42" s="340"/>
      <c r="L42" s="401"/>
      <c r="M42" s="355"/>
      <c r="N42" s="379"/>
      <c r="O42" s="379"/>
      <c r="P42" s="379"/>
      <c r="Q42" s="379"/>
      <c r="R42" s="379"/>
      <c r="S42" s="42"/>
      <c r="T42" s="43"/>
      <c r="U42" s="13"/>
      <c r="V42" s="13"/>
      <c r="W42" s="61"/>
      <c r="X42" s="362"/>
      <c r="Y42" s="13"/>
      <c r="Z42" s="18"/>
    </row>
    <row r="43" spans="1:28" ht="15.6">
      <c r="A43" s="419" t="s">
        <v>60</v>
      </c>
      <c r="B43" s="369"/>
      <c r="C43" s="362"/>
      <c r="D43" s="370"/>
      <c r="E43" s="362"/>
      <c r="F43" s="362"/>
      <c r="G43" s="362"/>
      <c r="H43" s="362"/>
      <c r="I43" s="370"/>
      <c r="J43" s="370"/>
      <c r="K43" s="370"/>
      <c r="L43" s="383"/>
      <c r="M43" s="355"/>
      <c r="N43" s="379"/>
      <c r="O43" s="379"/>
      <c r="P43" s="379"/>
      <c r="Q43" s="379"/>
      <c r="R43" s="379"/>
      <c r="S43" s="42"/>
      <c r="T43" s="43"/>
      <c r="U43" s="13"/>
      <c r="V43" s="13"/>
      <c r="W43" s="61"/>
      <c r="X43" s="362"/>
      <c r="Y43" s="13"/>
      <c r="Z43" s="18"/>
    </row>
    <row r="44" spans="1:28">
      <c r="A44" s="414" t="s">
        <v>55</v>
      </c>
      <c r="B44" s="369"/>
      <c r="C44" s="362"/>
      <c r="D44" s="370"/>
      <c r="E44" s="362"/>
      <c r="F44" s="362"/>
      <c r="G44" s="362"/>
      <c r="H44" s="362"/>
      <c r="I44" s="370"/>
      <c r="J44" s="370"/>
      <c r="K44" s="370"/>
      <c r="L44" s="383"/>
      <c r="M44" s="355"/>
      <c r="N44" s="379"/>
      <c r="O44" s="379"/>
      <c r="P44" s="379"/>
      <c r="Q44" s="379"/>
      <c r="R44" s="379"/>
      <c r="S44" s="42"/>
      <c r="T44" s="43"/>
      <c r="U44" s="13"/>
      <c r="V44" s="13"/>
      <c r="W44" s="61"/>
      <c r="X44" s="362"/>
      <c r="Y44" s="13"/>
      <c r="Z44" s="18"/>
    </row>
    <row r="45" spans="1:28">
      <c r="A45" s="424" t="s">
        <v>576</v>
      </c>
      <c r="B45" s="332">
        <f>ROUND(MIN(B$100,29800000)*'New Hire'!C56,0)</f>
        <v>728000</v>
      </c>
      <c r="C45" s="332">
        <f>ROUND(MIN(C$100,29800000)*'New Hire'!E56,0)</f>
        <v>0</v>
      </c>
      <c r="D45" s="332">
        <f>ROUND(MIN(D$100,29800000)*'New Hire'!F56,0)</f>
        <v>0</v>
      </c>
      <c r="E45" s="332">
        <f>ROUND(MIN(E$100,29800000)*'New Hire'!G56,0)</f>
        <v>0</v>
      </c>
      <c r="F45" s="332">
        <f>ROUND(MIN(F$100,29800000)*'New Hire'!H56,0)</f>
        <v>0</v>
      </c>
      <c r="G45" s="332">
        <f>ROUND(MIN(G$100,29800000)*'New Hire'!J56,0)</f>
        <v>0</v>
      </c>
      <c r="H45" s="332">
        <f>ROUND(MIN(H$100,29800000)*'New Hire'!K56,0)</f>
        <v>2384000</v>
      </c>
      <c r="I45" s="332">
        <f>ROUND(MIN(I$100,29800000)*'New Hire'!L56,0)</f>
        <v>0</v>
      </c>
      <c r="J45" s="332">
        <f>ROUND(MIN(J$100,29800000)*'New Hire'!M56,0)</f>
        <v>920000</v>
      </c>
      <c r="K45" s="332">
        <f>ROUND(MIN(K$100,29800000)*'New Hire'!N56,0)</f>
        <v>0</v>
      </c>
      <c r="L45" s="400">
        <f>ROUND(MIN(L$100,83600000)*'New Hire'!P56,0)</f>
        <v>0</v>
      </c>
      <c r="M45" s="355">
        <f t="shared" ref="M45:M49" si="12">SUM(B45:L45)</f>
        <v>4032000</v>
      </c>
      <c r="N45" s="379"/>
      <c r="O45" s="379"/>
      <c r="P45" s="379"/>
      <c r="Q45" s="379"/>
      <c r="R45" s="379"/>
      <c r="S45" s="24" t="s">
        <v>57</v>
      </c>
      <c r="T45" s="37" t="s">
        <v>67</v>
      </c>
      <c r="U45" s="37" t="s">
        <v>69</v>
      </c>
      <c r="V45" s="37" t="s">
        <v>70</v>
      </c>
      <c r="W45" s="62" t="s">
        <v>425</v>
      </c>
      <c r="X45" s="363" t="s">
        <v>426</v>
      </c>
      <c r="Y45" s="37" t="s">
        <v>56</v>
      </c>
      <c r="Z45" s="38"/>
      <c r="AA45" s="293"/>
      <c r="AB45" s="293"/>
    </row>
    <row r="46" spans="1:28">
      <c r="A46" s="445" t="s">
        <v>577</v>
      </c>
      <c r="B46" s="332">
        <f>ROUND(MIN(B$100,83600000)*'New Hire'!C59,0)</f>
        <v>91000</v>
      </c>
      <c r="C46" s="332">
        <f>ROUND(MIN(C$100,83600000)*'New Hire'!E59,0)</f>
        <v>144500</v>
      </c>
      <c r="D46" s="332">
        <f>ROUND(MIN(D$100,83600000)*'New Hire'!F59,0)</f>
        <v>0</v>
      </c>
      <c r="E46" s="332">
        <f>ROUND(MIN(E$100,83600000)*'New Hire'!G59,0)</f>
        <v>0</v>
      </c>
      <c r="F46" s="332">
        <f>ROUND(MIN(F$100,83600000)*'New Hire'!H59,0)</f>
        <v>0</v>
      </c>
      <c r="G46" s="332">
        <f>ROUND(MIN(G$100,83600000)*'New Hire'!J59,0)</f>
        <v>0</v>
      </c>
      <c r="H46" s="332">
        <f>ROUND(MIN(H$100,83600000)*'New Hire'!K59,0)</f>
        <v>715000</v>
      </c>
      <c r="I46" s="332">
        <f>ROUND(MIN(I$100,83600000)*'New Hire'!L59,0)</f>
        <v>0</v>
      </c>
      <c r="J46" s="332">
        <f>ROUND(MIN(J$100,83600000)*'New Hire'!M59,0)</f>
        <v>115000</v>
      </c>
      <c r="K46" s="332">
        <f>ROUND(MIN(K$100,83600000)*'New Hire'!N59,0)</f>
        <v>0</v>
      </c>
      <c r="L46" s="400">
        <f>ROUND(MIN(L$100,83600000)*'New Hire'!P59,0)</f>
        <v>0</v>
      </c>
      <c r="M46" s="355">
        <f t="shared" si="12"/>
        <v>1065500</v>
      </c>
      <c r="N46" s="379"/>
      <c r="O46" s="379"/>
      <c r="P46" s="379"/>
      <c r="Q46" s="379"/>
      <c r="R46" s="379"/>
      <c r="S46" s="523" t="s">
        <v>424</v>
      </c>
      <c r="T46" s="524">
        <v>91999906</v>
      </c>
      <c r="U46" s="525" t="s">
        <v>1245</v>
      </c>
      <c r="V46" s="525" t="s">
        <v>1245</v>
      </c>
      <c r="W46" s="292">
        <v>0.375</v>
      </c>
      <c r="X46" s="292">
        <v>0.47916666666666669</v>
      </c>
      <c r="Y46" s="290">
        <v>9180</v>
      </c>
      <c r="Z46" s="479">
        <v>2.5</v>
      </c>
      <c r="AA46" s="293"/>
      <c r="AB46" s="293"/>
    </row>
    <row r="47" spans="1:28">
      <c r="A47" s="445" t="s">
        <v>578</v>
      </c>
      <c r="B47" s="332">
        <f>ROUND(MIN(B$100,29800000)*'New Hire'!C62,0)</f>
        <v>136500</v>
      </c>
      <c r="C47" s="332">
        <f>ROUND(MIN(C$100,29800000)*'New Hire'!E62,0)</f>
        <v>216750</v>
      </c>
      <c r="D47" s="332">
        <f>ROUND(MIN(D$100,29800000)*'New Hire'!F62,0)</f>
        <v>0</v>
      </c>
      <c r="E47" s="332">
        <f>ROUND(MIN(E$100,29800000)*'New Hire'!G62,0)</f>
        <v>0</v>
      </c>
      <c r="F47" s="332">
        <f>ROUND(MIN(F$100,29800000)*'New Hire'!H62,0)</f>
        <v>0</v>
      </c>
      <c r="G47" s="332">
        <f>ROUND(MIN(G$100,29800000)*'New Hire'!J62,0)</f>
        <v>447000</v>
      </c>
      <c r="H47" s="332">
        <f>ROUND(MIN(H$100,29800000)*'New Hire'!K62,0)</f>
        <v>447000</v>
      </c>
      <c r="I47" s="332">
        <f>ROUND(MIN(I$100,29800000)*'New Hire'!L62,0)</f>
        <v>0</v>
      </c>
      <c r="J47" s="332">
        <f>ROUND(MIN(J$100,29800000)*'New Hire'!M62,0)</f>
        <v>172500</v>
      </c>
      <c r="K47" s="332">
        <f>ROUND(MIN(K$100,29800000)*'New Hire'!N62,0)</f>
        <v>0</v>
      </c>
      <c r="L47" s="400">
        <f>ROUND(MIN(L$100,83600000)*'New Hire'!P62,0)</f>
        <v>0</v>
      </c>
      <c r="M47" s="355">
        <f t="shared" si="12"/>
        <v>1419750</v>
      </c>
      <c r="N47" s="379"/>
      <c r="O47" s="379"/>
      <c r="P47" s="379"/>
      <c r="Q47" s="379"/>
      <c r="R47" s="379"/>
      <c r="S47" s="523" t="s">
        <v>423</v>
      </c>
      <c r="T47" s="524">
        <v>91999906</v>
      </c>
      <c r="U47" s="525" t="s">
        <v>1246</v>
      </c>
      <c r="V47" s="525" t="s">
        <v>1246</v>
      </c>
      <c r="W47" s="292">
        <v>0.375</v>
      </c>
      <c r="X47" s="292">
        <v>0.47916666666666669</v>
      </c>
      <c r="Y47" s="290">
        <v>9180</v>
      </c>
      <c r="Z47" s="479">
        <v>2.5</v>
      </c>
      <c r="AA47" s="293"/>
      <c r="AB47" s="293"/>
    </row>
    <row r="48" spans="1:28">
      <c r="A48" s="412" t="s">
        <v>111</v>
      </c>
      <c r="B48" s="331">
        <f t="shared" ref="B48:L48" si="13">B107</f>
        <v>0</v>
      </c>
      <c r="C48" s="332">
        <f t="shared" si="13"/>
        <v>258875</v>
      </c>
      <c r="D48" s="332">
        <f t="shared" si="13"/>
        <v>0</v>
      </c>
      <c r="E48" s="332">
        <f t="shared" si="13"/>
        <v>1667945</v>
      </c>
      <c r="F48" s="332">
        <f t="shared" si="13"/>
        <v>2351250</v>
      </c>
      <c r="G48" s="332">
        <f t="shared" si="13"/>
        <v>18099900</v>
      </c>
      <c r="H48" s="332">
        <f t="shared" si="13"/>
        <v>11836200</v>
      </c>
      <c r="I48" s="332">
        <f t="shared" si="13"/>
        <v>200000</v>
      </c>
      <c r="J48" s="332">
        <f t="shared" si="13"/>
        <v>2300000</v>
      </c>
      <c r="K48" s="332">
        <f t="shared" si="13"/>
        <v>115385</v>
      </c>
      <c r="L48" s="400">
        <f t="shared" si="13"/>
        <v>450000</v>
      </c>
      <c r="M48" s="355">
        <f t="shared" si="12"/>
        <v>37279555</v>
      </c>
      <c r="N48" s="379"/>
      <c r="O48" s="379"/>
      <c r="P48" s="379"/>
      <c r="Q48" s="379"/>
      <c r="R48" s="379"/>
      <c r="S48" s="523" t="s">
        <v>423</v>
      </c>
      <c r="T48" s="524">
        <v>91999914</v>
      </c>
      <c r="U48" s="525" t="s">
        <v>1247</v>
      </c>
      <c r="V48" s="525" t="s">
        <v>1247</v>
      </c>
      <c r="W48" s="292">
        <v>0.375</v>
      </c>
      <c r="X48" s="292">
        <v>0.47916666666666669</v>
      </c>
      <c r="Y48" s="290">
        <v>9180</v>
      </c>
      <c r="Z48" s="479">
        <v>2.5</v>
      </c>
      <c r="AA48" s="293"/>
      <c r="AB48" s="293"/>
    </row>
    <row r="49" spans="1:28">
      <c r="A49" s="506" t="s">
        <v>1227</v>
      </c>
      <c r="B49" s="438"/>
      <c r="C49" s="438"/>
      <c r="D49" s="438"/>
      <c r="E49" s="438"/>
      <c r="F49" s="438"/>
      <c r="G49" s="438"/>
      <c r="H49" s="438"/>
      <c r="I49" s="438"/>
      <c r="J49" s="438">
        <f>J108</f>
        <v>18755086</v>
      </c>
      <c r="K49" s="438"/>
      <c r="L49" s="511"/>
      <c r="M49" s="464">
        <f t="shared" si="12"/>
        <v>18755086</v>
      </c>
      <c r="N49" s="332"/>
      <c r="O49" s="332"/>
      <c r="P49" s="341"/>
      <c r="Q49" s="379"/>
      <c r="R49" s="379"/>
      <c r="S49" s="523" t="s">
        <v>423</v>
      </c>
      <c r="T49" s="524">
        <v>91999914</v>
      </c>
      <c r="U49" s="525" t="s">
        <v>1248</v>
      </c>
      <c r="V49" s="525" t="s">
        <v>1248</v>
      </c>
      <c r="W49" s="292">
        <v>0.375</v>
      </c>
      <c r="X49" s="292">
        <v>0.47916666666666669</v>
      </c>
      <c r="Y49" s="290">
        <v>9180</v>
      </c>
      <c r="Z49" s="479">
        <v>2.5</v>
      </c>
      <c r="AA49" s="293"/>
      <c r="AB49" s="293"/>
    </row>
    <row r="50" spans="1:28">
      <c r="A50" s="445" t="s">
        <v>514</v>
      </c>
      <c r="B50" s="332">
        <f t="shared" ref="B50:L50" si="14">B91-B36</f>
        <v>0</v>
      </c>
      <c r="C50" s="332">
        <f t="shared" si="14"/>
        <v>0</v>
      </c>
      <c r="D50" s="332">
        <f t="shared" si="14"/>
        <v>0</v>
      </c>
      <c r="E50" s="332">
        <f t="shared" si="14"/>
        <v>0</v>
      </c>
      <c r="F50" s="332">
        <f t="shared" si="14"/>
        <v>0</v>
      </c>
      <c r="G50" s="332">
        <f t="shared" si="14"/>
        <v>0</v>
      </c>
      <c r="H50" s="332">
        <f t="shared" si="14"/>
        <v>0</v>
      </c>
      <c r="I50" s="332">
        <f t="shared" si="14"/>
        <v>0</v>
      </c>
      <c r="J50" s="332">
        <f t="shared" si="14"/>
        <v>0</v>
      </c>
      <c r="K50" s="332">
        <f t="shared" si="14"/>
        <v>0</v>
      </c>
      <c r="L50" s="332">
        <f t="shared" si="14"/>
        <v>0</v>
      </c>
      <c r="M50" s="355">
        <f>SUM(B50:L50)</f>
        <v>0</v>
      </c>
      <c r="N50" s="379"/>
      <c r="O50" s="379"/>
      <c r="P50" s="379"/>
      <c r="Q50" s="379"/>
      <c r="R50" s="379"/>
      <c r="S50" s="514" t="s">
        <v>423</v>
      </c>
      <c r="T50" s="518">
        <v>91999912</v>
      </c>
      <c r="U50" s="444" t="s">
        <v>924</v>
      </c>
      <c r="V50" s="444" t="s">
        <v>924</v>
      </c>
      <c r="W50" s="515">
        <v>0.33333333333333331</v>
      </c>
      <c r="X50" s="515">
        <v>0.70833333333333337</v>
      </c>
      <c r="Y50" s="516">
        <v>9000</v>
      </c>
      <c r="Z50" s="517">
        <v>9</v>
      </c>
      <c r="AA50" s="293">
        <v>9</v>
      </c>
      <c r="AB50" s="293"/>
    </row>
    <row r="51" spans="1:28">
      <c r="A51" s="445" t="s">
        <v>535</v>
      </c>
      <c r="B51" s="332">
        <f t="shared" ref="B51:L51" si="15">B38</f>
        <v>201270</v>
      </c>
      <c r="C51" s="332">
        <f t="shared" si="15"/>
        <v>0</v>
      </c>
      <c r="D51" s="332">
        <f t="shared" si="15"/>
        <v>0</v>
      </c>
      <c r="E51" s="332">
        <f t="shared" si="15"/>
        <v>0</v>
      </c>
      <c r="F51" s="332">
        <f t="shared" si="15"/>
        <v>0</v>
      </c>
      <c r="G51" s="332">
        <f t="shared" si="15"/>
        <v>0</v>
      </c>
      <c r="H51" s="332">
        <f t="shared" si="15"/>
        <v>0</v>
      </c>
      <c r="I51" s="332">
        <f t="shared" si="15"/>
        <v>0</v>
      </c>
      <c r="J51" s="332">
        <f t="shared" si="15"/>
        <v>0</v>
      </c>
      <c r="K51" s="332">
        <f t="shared" si="15"/>
        <v>0</v>
      </c>
      <c r="L51" s="332">
        <f t="shared" si="15"/>
        <v>0</v>
      </c>
      <c r="M51" s="346">
        <f>SUM(B51:L51)</f>
        <v>201270</v>
      </c>
      <c r="N51" s="379"/>
      <c r="O51" s="379"/>
      <c r="P51" s="379"/>
      <c r="Q51" s="379"/>
      <c r="R51" s="379"/>
      <c r="S51" s="514" t="s">
        <v>423</v>
      </c>
      <c r="T51" s="518">
        <v>91999912</v>
      </c>
      <c r="U51" s="444" t="s">
        <v>925</v>
      </c>
      <c r="V51" s="444" t="s">
        <v>925</v>
      </c>
      <c r="W51" s="515">
        <v>0.33333333333333331</v>
      </c>
      <c r="X51" s="515">
        <v>0.70833333333333337</v>
      </c>
      <c r="Y51" s="516">
        <v>9000</v>
      </c>
      <c r="Z51" s="517">
        <v>9</v>
      </c>
      <c r="AA51" s="293">
        <v>9</v>
      </c>
      <c r="AB51" s="293"/>
    </row>
    <row r="52" spans="1:28">
      <c r="A52" s="445" t="s">
        <v>538</v>
      </c>
      <c r="B52" s="332">
        <f>B93</f>
        <v>594521</v>
      </c>
      <c r="C52" s="332">
        <f t="shared" ref="C52:L52" si="16">C93</f>
        <v>0</v>
      </c>
      <c r="D52" s="332">
        <f t="shared" si="16"/>
        <v>0</v>
      </c>
      <c r="E52" s="332">
        <f t="shared" si="16"/>
        <v>594521</v>
      </c>
      <c r="F52" s="332">
        <f t="shared" si="16"/>
        <v>0</v>
      </c>
      <c r="G52" s="332">
        <f t="shared" si="16"/>
        <v>0</v>
      </c>
      <c r="H52" s="332">
        <f t="shared" si="16"/>
        <v>0</v>
      </c>
      <c r="I52" s="332">
        <f t="shared" si="16"/>
        <v>0</v>
      </c>
      <c r="J52" s="332">
        <f t="shared" si="16"/>
        <v>0</v>
      </c>
      <c r="K52" s="332">
        <f t="shared" si="16"/>
        <v>0</v>
      </c>
      <c r="L52" s="332">
        <f t="shared" si="16"/>
        <v>0</v>
      </c>
      <c r="M52" s="355">
        <f>SUM(B52:L52)</f>
        <v>1189042</v>
      </c>
      <c r="N52" s="379"/>
      <c r="O52" s="379"/>
      <c r="P52" s="347"/>
      <c r="Q52" s="347"/>
      <c r="R52" s="347"/>
      <c r="S52" s="514" t="s">
        <v>423</v>
      </c>
      <c r="T52" s="518">
        <v>91999912</v>
      </c>
      <c r="U52" s="444" t="s">
        <v>926</v>
      </c>
      <c r="V52" s="444" t="s">
        <v>926</v>
      </c>
      <c r="W52" s="515">
        <v>0.33333333333333331</v>
      </c>
      <c r="X52" s="515">
        <v>0.70833333333333337</v>
      </c>
      <c r="Y52" s="516">
        <v>9000</v>
      </c>
      <c r="Z52" s="517">
        <v>9</v>
      </c>
      <c r="AA52" s="293">
        <v>2</v>
      </c>
      <c r="AB52" s="293"/>
    </row>
    <row r="53" spans="1:28">
      <c r="A53" s="412"/>
      <c r="B53" s="371"/>
      <c r="C53" s="372"/>
      <c r="D53" s="373"/>
      <c r="E53" s="372"/>
      <c r="F53" s="372"/>
      <c r="G53" s="372"/>
      <c r="H53" s="372"/>
      <c r="I53" s="373"/>
      <c r="J53" s="373"/>
      <c r="K53" s="373"/>
      <c r="L53" s="403"/>
      <c r="M53" s="355"/>
      <c r="N53" s="379"/>
      <c r="O53" s="379"/>
      <c r="P53" s="379"/>
      <c r="Q53" s="379"/>
      <c r="R53" s="379"/>
      <c r="S53" s="514" t="s">
        <v>931</v>
      </c>
      <c r="T53" s="518">
        <v>91999905</v>
      </c>
      <c r="U53" s="603">
        <v>43770</v>
      </c>
      <c r="V53" s="603">
        <v>43799</v>
      </c>
      <c r="W53" s="515"/>
      <c r="X53" s="515"/>
      <c r="Y53" s="516">
        <v>1000</v>
      </c>
      <c r="Z53" s="517">
        <f>NETWORKDAYS(U53,V53)</f>
        <v>21</v>
      </c>
      <c r="AB53" s="293"/>
    </row>
    <row r="54" spans="1:28">
      <c r="A54" s="420" t="s">
        <v>4</v>
      </c>
      <c r="B54" s="365">
        <f t="shared" ref="B54:L54" si="17">SUM(B45:B53)</f>
        <v>1751291</v>
      </c>
      <c r="C54" s="366">
        <f t="shared" si="17"/>
        <v>620125</v>
      </c>
      <c r="D54" s="366">
        <f t="shared" si="17"/>
        <v>0</v>
      </c>
      <c r="E54" s="366">
        <f t="shared" si="17"/>
        <v>2262466</v>
      </c>
      <c r="F54" s="366">
        <f t="shared" si="17"/>
        <v>2351250</v>
      </c>
      <c r="G54" s="366">
        <f t="shared" si="17"/>
        <v>18546900</v>
      </c>
      <c r="H54" s="366">
        <f t="shared" si="17"/>
        <v>15382200</v>
      </c>
      <c r="I54" s="366">
        <f t="shared" si="17"/>
        <v>200000</v>
      </c>
      <c r="J54" s="366">
        <f t="shared" si="17"/>
        <v>22262586</v>
      </c>
      <c r="K54" s="366">
        <f t="shared" si="17"/>
        <v>115385</v>
      </c>
      <c r="L54" s="638">
        <f t="shared" si="17"/>
        <v>450000</v>
      </c>
      <c r="M54" s="355">
        <f>SUM(B54:L54)</f>
        <v>63942203</v>
      </c>
      <c r="N54" s="379"/>
      <c r="O54" s="379"/>
      <c r="P54" s="379"/>
      <c r="Q54" s="379"/>
      <c r="R54" s="379"/>
      <c r="S54" s="33"/>
      <c r="T54" s="45"/>
      <c r="U54" s="13"/>
      <c r="V54" s="13"/>
      <c r="W54" s="13"/>
      <c r="X54" s="13"/>
      <c r="Y54" s="13"/>
      <c r="Z54" s="18"/>
      <c r="AB54" s="293"/>
    </row>
    <row r="55" spans="1:28">
      <c r="A55" s="421"/>
      <c r="B55" s="331"/>
      <c r="C55" s="332"/>
      <c r="D55" s="340"/>
      <c r="E55" s="332"/>
      <c r="F55" s="332"/>
      <c r="G55" s="332"/>
      <c r="H55" s="332"/>
      <c r="I55" s="340"/>
      <c r="J55" s="340"/>
      <c r="K55" s="340"/>
      <c r="L55" s="401"/>
      <c r="M55" s="355"/>
      <c r="N55" s="379"/>
      <c r="O55" s="379"/>
      <c r="P55" s="379"/>
      <c r="Q55" s="379"/>
      <c r="R55" s="379"/>
      <c r="S55" s="33"/>
      <c r="T55" s="45"/>
      <c r="U55" s="13"/>
      <c r="V55" s="13"/>
      <c r="W55" s="13"/>
      <c r="X55" s="13"/>
      <c r="Y55" s="13"/>
      <c r="Z55" s="18"/>
      <c r="AB55" s="293"/>
    </row>
    <row r="56" spans="1:28" ht="14.4" thickBot="1">
      <c r="A56" s="450" t="s">
        <v>5</v>
      </c>
      <c r="B56" s="334">
        <f t="shared" ref="B56:L56" si="18">MAX(B41-B54,0)</f>
        <v>7348709</v>
      </c>
      <c r="C56" s="334">
        <f t="shared" si="18"/>
        <v>13829875</v>
      </c>
      <c r="D56" s="334">
        <f t="shared" si="18"/>
        <v>0</v>
      </c>
      <c r="E56" s="334">
        <f t="shared" si="18"/>
        <v>13737534</v>
      </c>
      <c r="F56" s="334">
        <f t="shared" si="18"/>
        <v>26655000</v>
      </c>
      <c r="G56" s="334">
        <f t="shared" si="18"/>
        <v>71952600</v>
      </c>
      <c r="H56" s="334">
        <f t="shared" si="18"/>
        <v>56117800</v>
      </c>
      <c r="I56" s="334">
        <f t="shared" si="18"/>
        <v>12800000</v>
      </c>
      <c r="J56" s="334">
        <f t="shared" si="18"/>
        <v>0</v>
      </c>
      <c r="K56" s="334">
        <f t="shared" si="18"/>
        <v>12000015</v>
      </c>
      <c r="L56" s="404">
        <f t="shared" si="18"/>
        <v>4050000</v>
      </c>
      <c r="M56" s="355">
        <f>SUM(B56:L56)</f>
        <v>218491533</v>
      </c>
      <c r="N56" s="347"/>
      <c r="O56" s="347"/>
      <c r="P56" s="347"/>
      <c r="Q56" s="347"/>
      <c r="R56" s="347"/>
      <c r="S56" s="32"/>
      <c r="T56" s="44"/>
      <c r="U56" s="13"/>
      <c r="V56" s="13"/>
      <c r="W56" s="13"/>
      <c r="X56" s="13"/>
      <c r="Y56" s="13"/>
      <c r="Z56" s="18"/>
      <c r="AB56" s="293"/>
    </row>
    <row r="57" spans="1:28" ht="14.4" thickTop="1">
      <c r="A57" s="450" t="s">
        <v>1220</v>
      </c>
      <c r="B57" s="332">
        <f t="shared" ref="B57:L57" si="19">MAX(B54-B41,0)</f>
        <v>0</v>
      </c>
      <c r="C57" s="332">
        <f t="shared" si="19"/>
        <v>0</v>
      </c>
      <c r="D57" s="332">
        <f t="shared" si="19"/>
        <v>3666667</v>
      </c>
      <c r="E57" s="332">
        <f t="shared" si="19"/>
        <v>0</v>
      </c>
      <c r="F57" s="332">
        <f t="shared" si="19"/>
        <v>0</v>
      </c>
      <c r="G57" s="332">
        <f t="shared" si="19"/>
        <v>0</v>
      </c>
      <c r="H57" s="332">
        <f t="shared" si="19"/>
        <v>0</v>
      </c>
      <c r="I57" s="332">
        <f t="shared" si="19"/>
        <v>0</v>
      </c>
      <c r="J57" s="332">
        <f t="shared" si="19"/>
        <v>10762586</v>
      </c>
      <c r="K57" s="332">
        <f t="shared" si="19"/>
        <v>0</v>
      </c>
      <c r="L57" s="400">
        <f t="shared" si="19"/>
        <v>0</v>
      </c>
      <c r="M57" s="355">
        <f>SUM(B57:L57)</f>
        <v>14429253</v>
      </c>
      <c r="N57" s="379"/>
      <c r="O57" s="379"/>
      <c r="P57" s="379"/>
      <c r="Q57" s="379"/>
      <c r="R57" s="379"/>
      <c r="AA57" s="293"/>
      <c r="AB57" s="293"/>
    </row>
    <row r="58" spans="1:28" ht="15.6">
      <c r="A58" s="411" t="s">
        <v>62</v>
      </c>
      <c r="B58" s="374"/>
      <c r="C58" s="405"/>
      <c r="D58" s="370"/>
      <c r="E58" s="405"/>
      <c r="F58" s="405"/>
      <c r="G58" s="405"/>
      <c r="H58" s="405"/>
      <c r="I58" s="370"/>
      <c r="J58" s="370"/>
      <c r="K58" s="370"/>
      <c r="L58" s="383"/>
      <c r="M58" s="383"/>
      <c r="N58" s="379"/>
      <c r="O58" s="379"/>
      <c r="P58" s="379"/>
      <c r="Q58" s="379"/>
      <c r="R58" s="379"/>
      <c r="AA58" s="293"/>
      <c r="AB58" s="293"/>
    </row>
    <row r="59" spans="1:28">
      <c r="A59" s="424" t="s">
        <v>573</v>
      </c>
      <c r="B59" s="332">
        <f>ROUND(MIN(B$100,29800000)*'New Hire'!C57,0)</f>
        <v>1547000</v>
      </c>
      <c r="C59" s="332">
        <f>ROUND(MIN(C$100,29800000)*'New Hire'!E57,0)</f>
        <v>72250</v>
      </c>
      <c r="D59" s="332">
        <f>ROUND(MIN(D$100,29800000)*'New Hire'!F57,0)</f>
        <v>0</v>
      </c>
      <c r="E59" s="332">
        <f>ROUND(MIN(E$100,29800000)*'New Hire'!G57,0)</f>
        <v>0</v>
      </c>
      <c r="F59" s="332">
        <f>ROUND(MIN(F$100,29800000)*'New Hire'!H57,0)</f>
        <v>0</v>
      </c>
      <c r="G59" s="332">
        <f>ROUND(MIN(G$100,29800000)*'New Hire'!J57,0)</f>
        <v>149000</v>
      </c>
      <c r="H59" s="332">
        <f>ROUND(MIN(H$100,29800000)*'New Hire'!K57,0)</f>
        <v>5066000</v>
      </c>
      <c r="I59" s="332">
        <f>ROUND(MIN(I$100,29800000)*'New Hire'!L57,0)</f>
        <v>0</v>
      </c>
      <c r="J59" s="332">
        <f>ROUND(MIN(J$100,29800000)*'New Hire'!M57,0)</f>
        <v>1955000</v>
      </c>
      <c r="K59" s="332">
        <f>ROUND(MIN(K$100,29800000)*'New Hire'!N57,0)</f>
        <v>0</v>
      </c>
      <c r="L59" s="400">
        <f>ROUND(MIN(L$100,29800000)*'New Hire'!P57,0)</f>
        <v>0</v>
      </c>
      <c r="M59" s="346">
        <f>SUM(B59:L59)</f>
        <v>8789250</v>
      </c>
      <c r="N59" s="379"/>
      <c r="O59" s="379"/>
      <c r="P59" s="379"/>
      <c r="Q59" s="379"/>
      <c r="R59" s="379"/>
      <c r="AA59" s="293"/>
      <c r="AB59" s="293"/>
    </row>
    <row r="60" spans="1:28">
      <c r="A60" s="445" t="s">
        <v>574</v>
      </c>
      <c r="B60" s="332">
        <f>ROUND(MIN(B$100,83600000)*'New Hire'!C60,0)</f>
        <v>91000</v>
      </c>
      <c r="C60" s="332">
        <f>ROUND(MIN(C$100,83600000)*'New Hire'!E60,0)</f>
        <v>144500</v>
      </c>
      <c r="D60" s="332">
        <f>ROUND(MIN(D$100,83600000)*'New Hire'!F60,0)</f>
        <v>0</v>
      </c>
      <c r="E60" s="332">
        <f>ROUND(MIN(E$100,83600000)*'New Hire'!G60,0)</f>
        <v>0</v>
      </c>
      <c r="F60" s="332">
        <f>ROUND(MIN(F$100,83600000)*'New Hire'!H60,0)</f>
        <v>0</v>
      </c>
      <c r="G60" s="332">
        <f>ROUND(MIN(G$100,83600000)*'New Hire'!J60,0)</f>
        <v>0</v>
      </c>
      <c r="H60" s="332">
        <f>ROUND(MIN(H$100,83600000)*'New Hire'!K60,0)</f>
        <v>715000</v>
      </c>
      <c r="I60" s="332">
        <f>ROUND(MIN(I$100,83600000)*'New Hire'!L60,0)</f>
        <v>0</v>
      </c>
      <c r="J60" s="332">
        <f>ROUND(MIN(J$100,83600000)*'New Hire'!M60,0)</f>
        <v>115000</v>
      </c>
      <c r="K60" s="332">
        <f>ROUND(MIN(K$100,83600000)*'New Hire'!N60,0)</f>
        <v>0</v>
      </c>
      <c r="L60" s="400">
        <f>ROUND(MIN(L$100,83600000)*'New Hire'!P60,0)</f>
        <v>0</v>
      </c>
      <c r="M60" s="346">
        <f>SUM(B60:L60)</f>
        <v>1065500</v>
      </c>
      <c r="N60" s="379"/>
      <c r="O60" s="379"/>
      <c r="P60" s="379"/>
      <c r="Q60" s="379"/>
      <c r="R60" s="379"/>
      <c r="AA60" s="293"/>
      <c r="AB60" s="293"/>
    </row>
    <row r="61" spans="1:28">
      <c r="A61" s="445" t="s">
        <v>575</v>
      </c>
      <c r="B61" s="332">
        <f>ROUND(MIN(B$100,29800000)*'New Hire'!C63,0)</f>
        <v>273000</v>
      </c>
      <c r="C61" s="332">
        <f>ROUND(MIN(C$100,29800000)*'New Hire'!E63,0)</f>
        <v>433500</v>
      </c>
      <c r="D61" s="332">
        <f>ROUND(MIN(D$100,29800000)*'New Hire'!F63,0)</f>
        <v>0</v>
      </c>
      <c r="E61" s="332">
        <f>ROUND(MIN(E$100,29800000)*'New Hire'!G63,0)</f>
        <v>0</v>
      </c>
      <c r="F61" s="332">
        <f>ROUND(MIN(F$100,29800000)*'New Hire'!H63,0)</f>
        <v>0</v>
      </c>
      <c r="G61" s="332">
        <f>ROUND(MIN(G$100,29800000)*'New Hire'!J63,0)</f>
        <v>894000</v>
      </c>
      <c r="H61" s="332">
        <f>ROUND(MIN(H$100,29800000)*'New Hire'!K63,0)</f>
        <v>894000</v>
      </c>
      <c r="I61" s="332">
        <f>ROUND(MIN(I$100,29800000)*'New Hire'!L63,0)</f>
        <v>0</v>
      </c>
      <c r="J61" s="332">
        <f>ROUND(MIN(J$100,29800000)*'New Hire'!M63,0)</f>
        <v>345000</v>
      </c>
      <c r="K61" s="332">
        <f>ROUND(MIN(K$100,29800000)*'New Hire'!N63,0)</f>
        <v>0</v>
      </c>
      <c r="L61" s="400">
        <f>ROUND(MIN(L$100,29800000)*'New Hire'!P63,0)</f>
        <v>0</v>
      </c>
      <c r="M61" s="346">
        <f>SUM(B61:L61)</f>
        <v>2839500</v>
      </c>
      <c r="N61" s="379"/>
      <c r="O61" s="379"/>
      <c r="P61" s="379"/>
      <c r="Q61" s="379"/>
      <c r="R61" s="379"/>
      <c r="AA61" s="293"/>
      <c r="AB61" s="293"/>
    </row>
    <row r="62" spans="1:28">
      <c r="A62" s="445" t="s">
        <v>1131</v>
      </c>
      <c r="B62" s="332">
        <f t="shared" ref="B62:L62" si="20">ROUND(MIN(B100,29800000)*2%,0)</f>
        <v>182000</v>
      </c>
      <c r="C62" s="332">
        <f t="shared" si="20"/>
        <v>289000</v>
      </c>
      <c r="D62" s="332">
        <f t="shared" si="20"/>
        <v>0</v>
      </c>
      <c r="E62" s="332">
        <f t="shared" si="20"/>
        <v>320000</v>
      </c>
      <c r="F62" s="332">
        <f t="shared" si="20"/>
        <v>0</v>
      </c>
      <c r="G62" s="332">
        <f t="shared" si="20"/>
        <v>596000</v>
      </c>
      <c r="H62" s="332">
        <f t="shared" si="20"/>
        <v>596000</v>
      </c>
      <c r="I62" s="332">
        <f t="shared" si="20"/>
        <v>260000</v>
      </c>
      <c r="J62" s="332">
        <f t="shared" si="20"/>
        <v>230000</v>
      </c>
      <c r="K62" s="332">
        <f t="shared" si="20"/>
        <v>210000</v>
      </c>
      <c r="L62" s="400">
        <f t="shared" si="20"/>
        <v>0</v>
      </c>
      <c r="M62" s="355">
        <f>SUM(B62:L62)</f>
        <v>2683000</v>
      </c>
      <c r="N62" s="379"/>
      <c r="O62" s="379"/>
      <c r="P62" s="379"/>
      <c r="Q62" s="379"/>
      <c r="R62" s="379"/>
    </row>
    <row r="63" spans="1:28">
      <c r="A63" s="412"/>
      <c r="B63" s="331"/>
      <c r="C63" s="332"/>
      <c r="D63" s="340"/>
      <c r="E63" s="332"/>
      <c r="F63" s="332"/>
      <c r="G63" s="332"/>
      <c r="H63" s="332"/>
      <c r="I63" s="340"/>
      <c r="J63" s="340"/>
      <c r="K63" s="340"/>
      <c r="L63" s="401"/>
      <c r="M63" s="346"/>
      <c r="N63" s="379"/>
      <c r="O63" s="379"/>
      <c r="P63" s="379"/>
      <c r="Q63" s="379"/>
      <c r="R63" s="379"/>
    </row>
    <row r="64" spans="1:28" ht="15.6">
      <c r="A64" s="411" t="s">
        <v>475</v>
      </c>
      <c r="B64" s="331"/>
      <c r="C64" s="332"/>
      <c r="D64" s="340"/>
      <c r="E64" s="332"/>
      <c r="F64" s="332"/>
      <c r="G64" s="332"/>
      <c r="H64" s="332"/>
      <c r="I64" s="340"/>
      <c r="J64" s="340"/>
      <c r="K64" s="340"/>
      <c r="L64" s="401"/>
      <c r="M64" s="346"/>
      <c r="N64" s="379"/>
      <c r="O64" s="379"/>
      <c r="P64" s="379"/>
      <c r="Q64" s="379"/>
      <c r="R64" s="379"/>
      <c r="AA64" s="293"/>
    </row>
    <row r="65" spans="1:28">
      <c r="A65" s="445" t="s">
        <v>476</v>
      </c>
      <c r="B65" s="332">
        <f>IF(OR(B12="1",B12="P"),ROUND(B127*B89,0),0)+'UAT11-Nov'!B66</f>
        <v>6022368</v>
      </c>
      <c r="C65" s="332">
        <f>IF(OR(C12="1",C12="P"),ROUND(C127*C89,0),0)+'UAT11-Nov'!D66</f>
        <v>0</v>
      </c>
      <c r="D65" s="332">
        <f>IF(OR(D12="1",D12="P"),ROUND(D127*D14%*(D17-D136)/261,0),0)+'UAT11-Nov'!E66</f>
        <v>4432950</v>
      </c>
      <c r="E65" s="332">
        <f>IF(OR(E12="1",E12="P"),ROUND(E127*E14%*(E17-E136)/261,0),0)+'UAT11-Nov'!F66</f>
        <v>0</v>
      </c>
      <c r="F65" s="332">
        <f>IF(OR(F12="1",F12="P"),ROUND(F127*F14%*(F17-F136)/261,0),0)+'UAT11-Nov'!G66</f>
        <v>0</v>
      </c>
      <c r="G65" s="332">
        <f>IF(OR(G12="1",G12="P"),ROUND(G127*G14%*(G17-G136)/261,0),0)+'UAT11-Nov'!I66</f>
        <v>0</v>
      </c>
      <c r="H65" s="332">
        <f>IF(OR(H12="1",H12="P"),ROUND(H127*H14%*(H17-H136)/261,0),0)+'UAT11-Nov'!J66</f>
        <v>44553985</v>
      </c>
      <c r="I65" s="332">
        <f>IF(OR(I12="1",I12="P"),ROUND(I127*I14%*(I17-I136)/261,0),0)+'UAT11-Nov'!K66</f>
        <v>9113188</v>
      </c>
      <c r="J65" s="332">
        <f>IF(OR(J12="1",J12="P"),ROUND(J127*J14%*(J17-J136)/261,0),0)+'UAT11-Nov'!L66</f>
        <v>44134452</v>
      </c>
      <c r="K65" s="332">
        <f>IF(OR(K12="1",K12="P"),ROUND(K127*K14%*(K17-K136)/261,0),0)+'UAT11-Nov'!M66</f>
        <v>0</v>
      </c>
      <c r="L65" s="400">
        <f>IF(OR(L12="1",L12="P"),ROUND(L127*L14%*(L17-L136)/261,0),0)+'UAT11-Nov'!O66</f>
        <v>1517242</v>
      </c>
      <c r="M65" s="346">
        <f>SUM(B65:L65)</f>
        <v>109774185</v>
      </c>
      <c r="N65" s="379"/>
      <c r="O65" s="379"/>
      <c r="P65" s="379"/>
      <c r="Q65" s="379"/>
      <c r="R65" s="379"/>
      <c r="S65" s="160"/>
      <c r="AA65" s="293"/>
    </row>
    <row r="66" spans="1:28">
      <c r="A66" s="445" t="s">
        <v>484</v>
      </c>
      <c r="B66" s="617">
        <f>'UAT11-Nov'!B67</f>
        <v>0</v>
      </c>
      <c r="C66" s="617">
        <f>'UAT11-Nov'!D67</f>
        <v>0</v>
      </c>
      <c r="D66" s="617">
        <f>'UAT11-Nov'!E67</f>
        <v>0.5</v>
      </c>
      <c r="E66" s="617">
        <f>'UAT11-Nov'!F67</f>
        <v>0</v>
      </c>
      <c r="F66" s="617">
        <f>'UAT11-Nov'!G67</f>
        <v>0</v>
      </c>
      <c r="G66" s="617">
        <f>'UAT11-Nov'!I67</f>
        <v>0</v>
      </c>
      <c r="H66" s="617">
        <f>'UAT11-Nov'!J67</f>
        <v>0</v>
      </c>
      <c r="I66" s="617">
        <f>'UAT11-Nov'!K67</f>
        <v>0</v>
      </c>
      <c r="J66" s="617">
        <f>'UAT11-Nov'!L67</f>
        <v>0</v>
      </c>
      <c r="K66" s="617">
        <f>'UAT11-Nov'!M67</f>
        <v>0</v>
      </c>
      <c r="L66" s="619">
        <f>'UAT11-Nov'!O67</f>
        <v>0</v>
      </c>
      <c r="M66" s="618">
        <f>SUM(B66:L66)</f>
        <v>0.5</v>
      </c>
      <c r="N66" s="341"/>
      <c r="O66" s="341"/>
      <c r="P66" s="341"/>
      <c r="Q66" s="341"/>
      <c r="R66" s="341"/>
    </row>
    <row r="67" spans="1:28">
      <c r="A67" s="445" t="s">
        <v>587</v>
      </c>
      <c r="B67" s="332">
        <f>B101+'UAT11-Nov'!B68-'UAT6-Jun'!B119</f>
        <v>68060000</v>
      </c>
      <c r="C67" s="332">
        <f>C101+'UAT11-Nov'!D68</f>
        <v>43350000</v>
      </c>
      <c r="D67" s="332">
        <f>D101+'UAT11-Nov'!E68-'UAT6-Jun'!E119</f>
        <v>79460000</v>
      </c>
      <c r="E67" s="332">
        <f>E101+'UAT11-Nov'!F68-'UAT6-Jun'!F119</f>
        <v>109460000</v>
      </c>
      <c r="F67" s="332">
        <f>F101+'UAT11-Nov'!G68-'UAT6-Jun'!G119</f>
        <v>0</v>
      </c>
      <c r="G67" s="332">
        <f>G101+'UAT11-Nov'!I68-'UAT6-Jun'!I119</f>
        <v>552279000</v>
      </c>
      <c r="H67" s="332">
        <f>H101+'UAT11-Nov'!J68-'UAT6-Jun'!J119</f>
        <v>442460000</v>
      </c>
      <c r="I67" s="332">
        <f>I101+'UAT11-Nov'!K68-'UAT6-Jun'!K119</f>
        <v>91460000</v>
      </c>
      <c r="J67" s="332">
        <f>J101+'UAT11-Nov'!L68-'UAT6-Jun'!L119</f>
        <v>82460000</v>
      </c>
      <c r="K67" s="332">
        <f>K101+'UAT11-Nov'!M68-'UAT6-Jun'!M119</f>
        <v>76460000</v>
      </c>
      <c r="L67" s="400">
        <f>L101+'UAT11-Nov'!O68-'UAT6-Jun'!O119</f>
        <v>6000000</v>
      </c>
      <c r="M67" s="346">
        <f>SUM(B67:L67)</f>
        <v>1551449000</v>
      </c>
      <c r="N67" s="341"/>
      <c r="O67" s="341"/>
      <c r="P67" s="341"/>
      <c r="Q67" s="341"/>
      <c r="R67" s="341"/>
      <c r="T67" s="160"/>
      <c r="U67" s="160"/>
      <c r="V67" s="160"/>
      <c r="W67" s="160"/>
      <c r="X67" s="160"/>
      <c r="Y67" s="160"/>
      <c r="Z67" s="160"/>
    </row>
    <row r="68" spans="1:28">
      <c r="A68" s="445" t="s">
        <v>1207</v>
      </c>
      <c r="B68" s="7">
        <v>8</v>
      </c>
      <c r="C68" s="7"/>
      <c r="D68" s="7">
        <v>15</v>
      </c>
      <c r="E68" s="7"/>
      <c r="F68" s="7"/>
      <c r="G68" s="7"/>
      <c r="H68" s="7">
        <v>8</v>
      </c>
      <c r="I68" s="7"/>
      <c r="J68" s="7"/>
      <c r="K68" s="7">
        <v>200</v>
      </c>
      <c r="L68" s="12"/>
      <c r="M68" s="478">
        <f>SUM(B68:L68)</f>
        <v>231</v>
      </c>
      <c r="N68" s="341"/>
      <c r="O68" s="341"/>
      <c r="P68" s="341"/>
      <c r="Q68" s="341"/>
      <c r="R68" s="341"/>
    </row>
    <row r="69" spans="1:28">
      <c r="A69" s="412"/>
      <c r="B69" s="331"/>
      <c r="C69" s="332"/>
      <c r="D69" s="340"/>
      <c r="E69" s="332"/>
      <c r="F69" s="332"/>
      <c r="G69" s="332"/>
      <c r="H69" s="332"/>
      <c r="I69" s="340"/>
      <c r="J69" s="340"/>
      <c r="K69" s="340"/>
      <c r="L69" s="401"/>
      <c r="M69" s="346"/>
      <c r="N69" s="341"/>
      <c r="O69" s="341"/>
      <c r="P69" s="341"/>
      <c r="Q69" s="341"/>
      <c r="R69" s="341"/>
    </row>
    <row r="70" spans="1:28" ht="15.6">
      <c r="A70" s="411" t="s">
        <v>889</v>
      </c>
      <c r="B70" s="480"/>
      <c r="C70" s="480"/>
      <c r="D70" s="480"/>
      <c r="E70" s="480"/>
      <c r="F70" s="480"/>
      <c r="G70" s="480"/>
      <c r="H70" s="590"/>
      <c r="I70" s="480"/>
      <c r="J70" s="480"/>
      <c r="K70" s="480"/>
      <c r="L70" s="588"/>
      <c r="M70" s="346"/>
      <c r="N70" s="481"/>
      <c r="O70" s="481"/>
      <c r="P70" s="379"/>
      <c r="Q70" s="379"/>
      <c r="R70" s="379"/>
    </row>
    <row r="71" spans="1:28">
      <c r="A71" s="474" t="s">
        <v>885</v>
      </c>
      <c r="B71" s="340">
        <f>B83*B115</f>
        <v>3190415</v>
      </c>
      <c r="C71" s="340">
        <f>C83*C115</f>
        <v>1269240</v>
      </c>
      <c r="D71" s="340">
        <v>0</v>
      </c>
      <c r="E71" s="340">
        <f t="shared" ref="E71:L71" si="21">E83*E115</f>
        <v>5907712</v>
      </c>
      <c r="F71" s="340">
        <f t="shared" si="21"/>
        <v>0</v>
      </c>
      <c r="G71" s="340">
        <f t="shared" si="21"/>
        <v>0</v>
      </c>
      <c r="H71" s="340">
        <f t="shared" si="21"/>
        <v>6980776</v>
      </c>
      <c r="I71" s="340">
        <f t="shared" si="21"/>
        <v>4615360</v>
      </c>
      <c r="J71" s="340">
        <f t="shared" si="21"/>
        <v>5307680</v>
      </c>
      <c r="K71" s="340">
        <f t="shared" si="21"/>
        <v>3109645</v>
      </c>
      <c r="L71" s="401">
        <f t="shared" si="21"/>
        <v>0</v>
      </c>
      <c r="M71" s="346">
        <f>SUM(B71:L71)-H71</f>
        <v>23400052</v>
      </c>
    </row>
    <row r="72" spans="1:28">
      <c r="A72" s="474" t="s">
        <v>886</v>
      </c>
      <c r="B72" s="340">
        <f>B83*B114</f>
        <v>6057750</v>
      </c>
      <c r="C72" s="340">
        <f>C83*C114</f>
        <v>2538480</v>
      </c>
      <c r="D72" s="340">
        <v>0</v>
      </c>
      <c r="E72" s="340">
        <f t="shared" ref="E72:L72" si="22">E83*E114</f>
        <v>-3692320</v>
      </c>
      <c r="F72" s="340">
        <f t="shared" si="22"/>
        <v>0</v>
      </c>
      <c r="G72" s="340">
        <f t="shared" si="22"/>
        <v>0</v>
      </c>
      <c r="H72" s="340">
        <f t="shared" si="22"/>
        <v>13961552</v>
      </c>
      <c r="I72" s="340">
        <f t="shared" si="22"/>
        <v>9230720</v>
      </c>
      <c r="J72" s="340">
        <f t="shared" si="22"/>
        <v>10615360</v>
      </c>
      <c r="K72" s="340">
        <f t="shared" si="22"/>
        <v>6259675</v>
      </c>
      <c r="L72" s="401">
        <f t="shared" si="22"/>
        <v>0</v>
      </c>
      <c r="M72" s="346">
        <f>SUM(B72:L72)-H72</f>
        <v>31009665</v>
      </c>
    </row>
    <row r="73" spans="1:28">
      <c r="A73" s="474" t="s">
        <v>928</v>
      </c>
      <c r="B73" s="340" t="e">
        <f>IF(OR(B22="A",B22="B"),ROUND(B140/12,0),ROUND(B140*$B$4/12,0))+'UAT11-Nov'!B74</f>
        <v>#REF!</v>
      </c>
      <c r="C73" s="340">
        <f>IF(OR(C22="A",C22="B"),ROUND(C140/12,0),ROUND(C140*$B$4/12,0))+'UAT11-Nov'!D74</f>
        <v>2750001</v>
      </c>
      <c r="D73" s="340">
        <v>0</v>
      </c>
      <c r="E73" s="340" t="e">
        <f>IF(OR(E22="A",E22="B"),ROUND(E140/12,0),ROUND(E140*$B$4/12,0))+'UAT11-Nov'!F74</f>
        <v>#REF!</v>
      </c>
      <c r="F73" s="340" t="e">
        <f>IF(OR(F22="A",F22="B"),ROUND(F140/12,0),ROUND(F140*$B$4/12,0))+'UAT11-Nov'!G74</f>
        <v>#REF!</v>
      </c>
      <c r="G73" s="340" t="e">
        <f>IF(OR(G22="A",G22="B"),ROUND(G140/12,0),ROUND(G140*$B$4/12,0))+'UAT11-Nov'!I74</f>
        <v>#REF!</v>
      </c>
      <c r="H73" s="340" t="e">
        <f>IF(OR(H22="A",H22="B"),ROUND(H140/12,0),ROUND(H140*$B$4/12,0))+'UAT11-Nov'!J74</f>
        <v>#REF!</v>
      </c>
      <c r="I73" s="340" t="e">
        <f>IF(OR(I22="A",I22="B"),ROUND(I140/12,0),ROUND(I140*$B$4/12,0))+'UAT11-Nov'!K74</f>
        <v>#REF!</v>
      </c>
      <c r="J73" s="340" t="e">
        <f>ROUND(J140/12,0)+'UAT11-Nov'!L74</f>
        <v>#REF!</v>
      </c>
      <c r="K73" s="340" t="e">
        <f>IF(OR(K22="A",K22="B"),ROUND(K140/12,0),ROUND(K140*$B$4/12,0))+'UAT11-Nov'!M74</f>
        <v>#REF!</v>
      </c>
      <c r="L73" s="401" t="e">
        <f>IF(OR(L22="A",L22="B"),ROUND(L140/12,0),ROUND(L140*$B$4/12,0))+'UAT11-Nov'!O74</f>
        <v>#REF!</v>
      </c>
      <c r="M73" s="346" t="e">
        <f>SUM(B73:L73)-H73</f>
        <v>#REF!</v>
      </c>
      <c r="N73" s="341"/>
      <c r="O73" s="482"/>
      <c r="P73" s="341"/>
      <c r="Q73" s="341"/>
      <c r="R73" s="341"/>
    </row>
    <row r="74" spans="1:28">
      <c r="A74" s="474" t="s">
        <v>887</v>
      </c>
      <c r="B74" s="340"/>
      <c r="C74" s="340"/>
      <c r="D74" s="340"/>
      <c r="E74" s="340"/>
      <c r="F74" s="340"/>
      <c r="G74" s="340"/>
      <c r="H74" s="453"/>
      <c r="I74" s="340"/>
      <c r="J74" s="340"/>
      <c r="K74" s="340"/>
      <c r="L74" s="401"/>
      <c r="M74" s="346">
        <f>SUM(B74:L74)-H74</f>
        <v>0</v>
      </c>
      <c r="N74" s="341"/>
      <c r="O74" s="482"/>
      <c r="P74" s="341"/>
      <c r="Q74" s="341"/>
      <c r="R74" s="341"/>
    </row>
    <row r="75" spans="1:28">
      <c r="A75" s="474" t="s">
        <v>888</v>
      </c>
      <c r="B75" s="340">
        <f>IF(OR(B22="A",B22="B"),ROUND(B66*B127*50%,0),ROUND(B66*B127*$B$4*50%,0))</f>
        <v>0</v>
      </c>
      <c r="C75" s="340">
        <f>IF(OR(C22="A",C22="B"),ROUND(C66*C127*50%,0),ROUND(C66*C127*$B$4*50%,0))</f>
        <v>0</v>
      </c>
      <c r="D75" s="340">
        <v>0</v>
      </c>
      <c r="E75" s="340">
        <f t="shared" ref="E75:L75" si="23">IF(OR(E22="A",E22="B"),ROUND(E66*E127*50%,0),ROUND(E66*E127*$B$4*50%,0))</f>
        <v>0</v>
      </c>
      <c r="F75" s="340">
        <f t="shared" si="23"/>
        <v>0</v>
      </c>
      <c r="G75" s="340">
        <f t="shared" si="23"/>
        <v>0</v>
      </c>
      <c r="H75" s="340">
        <f t="shared" si="23"/>
        <v>0</v>
      </c>
      <c r="I75" s="340">
        <f t="shared" si="23"/>
        <v>0</v>
      </c>
      <c r="J75" s="340">
        <f t="shared" si="23"/>
        <v>0</v>
      </c>
      <c r="K75" s="340">
        <f t="shared" si="23"/>
        <v>0</v>
      </c>
      <c r="L75" s="401">
        <f t="shared" si="23"/>
        <v>0</v>
      </c>
      <c r="M75" s="346">
        <f>SUM(B75:L75)-H75</f>
        <v>0</v>
      </c>
      <c r="N75" s="347"/>
      <c r="O75" s="482"/>
      <c r="P75" s="341"/>
      <c r="Q75" s="341"/>
      <c r="R75" s="341"/>
    </row>
    <row r="76" spans="1:28">
      <c r="A76" s="474"/>
      <c r="B76" s="340"/>
      <c r="C76" s="340"/>
      <c r="D76" s="340"/>
      <c r="E76" s="340"/>
      <c r="F76" s="340"/>
      <c r="G76" s="340"/>
      <c r="H76" s="340"/>
      <c r="I76" s="340"/>
      <c r="J76" s="340"/>
      <c r="K76" s="340"/>
      <c r="L76" s="401"/>
      <c r="M76" s="346"/>
      <c r="N76" s="347"/>
      <c r="O76" s="482"/>
      <c r="P76" s="341"/>
      <c r="Q76" s="341"/>
      <c r="R76" s="341"/>
    </row>
    <row r="77" spans="1:28" ht="15.6">
      <c r="A77" s="411" t="s">
        <v>704</v>
      </c>
      <c r="B77" s="331"/>
      <c r="C77" s="332"/>
      <c r="D77" s="340"/>
      <c r="E77" s="332"/>
      <c r="F77" s="332"/>
      <c r="G77" s="332"/>
      <c r="H77" s="332"/>
      <c r="I77" s="340"/>
      <c r="J77" s="340"/>
      <c r="K77" s="340"/>
      <c r="L77" s="401"/>
      <c r="M77" s="346"/>
      <c r="N77" s="519" t="s">
        <v>597</v>
      </c>
      <c r="O77" s="519" t="s">
        <v>597</v>
      </c>
      <c r="P77" s="520"/>
      <c r="Q77" s="521"/>
      <c r="R77" s="521"/>
    </row>
    <row r="78" spans="1:28">
      <c r="A78" s="501" t="s">
        <v>1160</v>
      </c>
      <c r="B78" s="502"/>
      <c r="C78" s="502"/>
      <c r="D78" s="502"/>
      <c r="E78" s="502"/>
      <c r="F78" s="502"/>
      <c r="G78" s="502"/>
      <c r="H78" s="502"/>
      <c r="I78" s="502"/>
      <c r="J78" s="502"/>
      <c r="K78" s="502">
        <f>ROUND('UAT11-Nov'!M83*AA50*100%,0)+ROUND('UAT11-Nov'!M83*AA51*100%,0)+ROUND('UAT11-Nov'!M83*AA52*100%,0)</f>
        <v>807700</v>
      </c>
      <c r="L78" s="503"/>
      <c r="M78" s="504">
        <f>SUM(B78:L78)</f>
        <v>807700</v>
      </c>
      <c r="N78" s="519" t="s">
        <v>597</v>
      </c>
      <c r="O78" s="519"/>
      <c r="P78" s="522"/>
      <c r="Q78" s="522"/>
      <c r="R78" s="522"/>
    </row>
    <row r="79" spans="1:28" s="5" customFormat="1">
      <c r="A79" s="527" t="s">
        <v>747</v>
      </c>
      <c r="B79" s="502"/>
      <c r="C79" s="502"/>
      <c r="D79" s="502"/>
      <c r="E79" s="502"/>
      <c r="F79" s="502"/>
      <c r="G79" s="502"/>
      <c r="H79" s="502"/>
      <c r="I79" s="502"/>
      <c r="J79" s="502"/>
      <c r="K79" s="502">
        <f>ROUND('UAT11-Nov'!M83*AA50*100%,0)+ROUND('UAT11-Nov'!M83*AA51*100%,0)+ROUND('UAT11-Nov'!M83*AA52*100%,0)</f>
        <v>807700</v>
      </c>
      <c r="L79" s="503"/>
      <c r="M79" s="504">
        <f>SUM(B79:L79)</f>
        <v>807700</v>
      </c>
      <c r="N79" s="519"/>
      <c r="O79" s="519"/>
      <c r="P79" s="522"/>
      <c r="Q79" s="522"/>
      <c r="R79" s="522"/>
      <c r="AA79"/>
      <c r="AB79"/>
    </row>
    <row r="80" spans="1:28" s="5" customFormat="1">
      <c r="A80" s="527" t="s">
        <v>790</v>
      </c>
      <c r="B80" s="502"/>
      <c r="C80" s="502"/>
      <c r="D80" s="502"/>
      <c r="E80" s="502">
        <f>Z53</f>
        <v>21</v>
      </c>
      <c r="F80" s="502"/>
      <c r="G80" s="502"/>
      <c r="H80" s="502"/>
      <c r="I80" s="502"/>
      <c r="J80" s="502"/>
      <c r="K80" s="502"/>
      <c r="L80" s="503"/>
      <c r="M80" s="504"/>
      <c r="N80" s="537"/>
      <c r="O80" s="537"/>
      <c r="P80" s="537"/>
      <c r="Q80" s="537"/>
      <c r="R80" s="537"/>
      <c r="AA80"/>
      <c r="AB80"/>
    </row>
    <row r="81" spans="1:28" s="5" customFormat="1">
      <c r="A81" s="412"/>
      <c r="B81" s="331"/>
      <c r="C81" s="332"/>
      <c r="D81" s="340"/>
      <c r="E81" s="332"/>
      <c r="F81" s="332"/>
      <c r="G81" s="332"/>
      <c r="H81" s="332"/>
      <c r="I81" s="340"/>
      <c r="J81" s="340"/>
      <c r="K81" s="340"/>
      <c r="L81" s="401"/>
      <c r="M81" s="346"/>
      <c r="N81" s="347"/>
      <c r="O81" s="380"/>
      <c r="P81" s="380"/>
      <c r="Q81" s="380"/>
      <c r="R81" s="380"/>
      <c r="AA81"/>
      <c r="AB81"/>
    </row>
    <row r="82" spans="1:28" s="5" customFormat="1" ht="15.6">
      <c r="A82" s="411" t="s">
        <v>485</v>
      </c>
      <c r="B82" s="331"/>
      <c r="C82" s="332"/>
      <c r="D82" s="340"/>
      <c r="E82" s="332"/>
      <c r="F82" s="332"/>
      <c r="G82" s="332"/>
      <c r="H82" s="332"/>
      <c r="I82" s="340"/>
      <c r="J82" s="340"/>
      <c r="K82" s="340"/>
      <c r="L82" s="401"/>
      <c r="M82" s="346"/>
      <c r="N82" s="347"/>
      <c r="O82" s="347"/>
      <c r="P82" s="347"/>
      <c r="Q82" s="347"/>
      <c r="R82" s="347"/>
      <c r="AA82"/>
      <c r="AB82"/>
    </row>
    <row r="83" spans="1:28" s="5" customFormat="1">
      <c r="A83" s="445" t="s">
        <v>490</v>
      </c>
      <c r="B83" s="332">
        <f t="shared" ref="B83:I83" si="24">IF(OR(B22="A",B22="B"),IF(B12&lt;&gt;"C",ROUND(B127*12/52/40,0),B128),IF(B12&lt;&gt;"C",ROUND(B127*$B$4*12/52/40,0),B128*$B$4))</f>
        <v>40385</v>
      </c>
      <c r="C83" s="332">
        <f t="shared" si="24"/>
        <v>63462</v>
      </c>
      <c r="D83" s="332">
        <f t="shared" si="24"/>
        <v>63462</v>
      </c>
      <c r="E83" s="332">
        <f t="shared" si="24"/>
        <v>92308</v>
      </c>
      <c r="F83" s="332">
        <f t="shared" si="24"/>
        <v>5801250</v>
      </c>
      <c r="G83" s="332">
        <f t="shared" si="24"/>
        <v>562275</v>
      </c>
      <c r="H83" s="332">
        <f t="shared" si="24"/>
        <v>317308</v>
      </c>
      <c r="I83" s="332">
        <f t="shared" si="24"/>
        <v>57692</v>
      </c>
      <c r="J83" s="332">
        <f>ROUND(J127*12/52/40,0)</f>
        <v>66346</v>
      </c>
      <c r="K83" s="332">
        <f>IF(OR(K22="A",K22="B"),IF(K12&lt;&gt;"C",ROUND(K127*12/52/40,0),K128),IF(K12&lt;&gt;"C",ROUND(K127*$B$4*12/52/40,0),K128*$B$4))</f>
        <v>40385</v>
      </c>
      <c r="L83" s="400">
        <f>IF(OR(L22="A",L22="B"),IF(L12&lt;&gt;"C",ROUND(L127*12/52/40,0),L128),IF(L12&lt;&gt;"C",ROUND(L127*$B$4*12/52/40,0),L128*$B$4))</f>
        <v>900000</v>
      </c>
      <c r="M83" s="346">
        <f t="shared" ref="M83:M94" si="25">SUM(B83:L83)</f>
        <v>8004873</v>
      </c>
      <c r="N83" s="347"/>
      <c r="O83" s="347"/>
      <c r="P83" s="347"/>
      <c r="Q83" s="347"/>
      <c r="R83" s="347"/>
      <c r="AA83"/>
      <c r="AB83"/>
    </row>
    <row r="84" spans="1:28" s="5" customFormat="1">
      <c r="A84" s="445" t="s">
        <v>501</v>
      </c>
      <c r="B84" s="332">
        <f t="shared" ref="B84:I84" si="26">IF(OR(B22="A",B22="B"),ROUND(SUM(B127,B129,B130,B132)*12/52/5*B14%,0),ROUND(SUM(B127,B129,B130,B132)*12/52/5*$B$4*B14%,0))</f>
        <v>420000</v>
      </c>
      <c r="C84" s="332">
        <f t="shared" si="26"/>
        <v>666923</v>
      </c>
      <c r="D84" s="332">
        <f t="shared" si="26"/>
        <v>507692</v>
      </c>
      <c r="E84" s="332">
        <f t="shared" si="26"/>
        <v>738462</v>
      </c>
      <c r="F84" s="332">
        <f t="shared" si="26"/>
        <v>0</v>
      </c>
      <c r="G84" s="332">
        <f t="shared" si="26"/>
        <v>4498200</v>
      </c>
      <c r="H84" s="332">
        <f t="shared" si="26"/>
        <v>1650000</v>
      </c>
      <c r="I84" s="332">
        <f t="shared" si="26"/>
        <v>600000</v>
      </c>
      <c r="J84" s="332">
        <f>ROUND(SUM(J127,J129,J130,J132)*12/52/5*J14%,0)</f>
        <v>530769</v>
      </c>
      <c r="K84" s="332">
        <f>IF(OR(K22="A",K22="B"),ROUND(SUM(K127,K129,K130,K132)*12/52/5*K14%,0),ROUND(SUM(K127,K129,K130,K132)*12/52/5*$B$4*K14%,0))</f>
        <v>484615</v>
      </c>
      <c r="L84" s="400">
        <f>IF(OR(L22="A",L22="B"),ROUND(SUM(L127,L129,L130,L132)*12/52/5*L14%,0),ROUND(SUM(L127,L129,L130,L132)*12/52/5*$B$4*L14%,0))</f>
        <v>0</v>
      </c>
      <c r="M84" s="346">
        <f t="shared" si="25"/>
        <v>10096661</v>
      </c>
      <c r="N84" s="347"/>
      <c r="O84" s="347"/>
      <c r="P84" s="347"/>
      <c r="Q84" s="347"/>
      <c r="R84" s="347"/>
      <c r="AA84"/>
      <c r="AB84"/>
    </row>
    <row r="85" spans="1:28" s="5" customFormat="1">
      <c r="A85" s="445" t="s">
        <v>502</v>
      </c>
      <c r="B85" s="332">
        <f t="shared" ref="B85:I85" si="27">IF(OR(B22="A",B22="B"),ROUND(B127/B18,0),ROUND(B127*$B$4/B18,0))</f>
        <v>318182</v>
      </c>
      <c r="C85" s="332">
        <f t="shared" si="27"/>
        <v>500000</v>
      </c>
      <c r="D85" s="332">
        <f t="shared" si="27"/>
        <v>500000</v>
      </c>
      <c r="E85" s="332">
        <f t="shared" si="27"/>
        <v>727273</v>
      </c>
      <c r="F85" s="332">
        <f t="shared" si="27"/>
        <v>0</v>
      </c>
      <c r="G85" s="332">
        <f t="shared" si="27"/>
        <v>4430045</v>
      </c>
      <c r="H85" s="332">
        <f t="shared" si="27"/>
        <v>2500000</v>
      </c>
      <c r="I85" s="332">
        <f t="shared" si="27"/>
        <v>454545</v>
      </c>
      <c r="J85" s="332">
        <f>ROUND(J127/J18,0)</f>
        <v>522727</v>
      </c>
      <c r="K85" s="332">
        <f>IF(OR(K22="A",K22="B"),ROUND(K127/K18,0),ROUND(K127*$B$4/K18,0))</f>
        <v>318182</v>
      </c>
      <c r="L85" s="400">
        <f>IF(OR(L22="A",L22="B"),ROUND(L127/L18,0),ROUND(L127*$B$4/L18,0))</f>
        <v>0</v>
      </c>
      <c r="M85" s="346">
        <f t="shared" si="25"/>
        <v>10270954</v>
      </c>
      <c r="N85" s="347"/>
      <c r="O85" s="347"/>
      <c r="P85" s="347"/>
      <c r="Q85" s="347"/>
      <c r="R85" s="347"/>
      <c r="AA85"/>
      <c r="AB85"/>
    </row>
    <row r="86" spans="1:28" s="5" customFormat="1">
      <c r="A86" s="445" t="s">
        <v>628</v>
      </c>
      <c r="B86" s="332">
        <f t="shared" ref="B86:I86" si="28">IF(OR(B22="A",B22="B"),ROUND(SUM(B129,B130,B131,B133:B135)/B18,0),ROUND(SUM(B129,B130,B131,B133:B135)*$B$4/B18,0))</f>
        <v>95455</v>
      </c>
      <c r="C86" s="332">
        <f t="shared" si="28"/>
        <v>156818</v>
      </c>
      <c r="D86" s="332">
        <f t="shared" si="28"/>
        <v>0</v>
      </c>
      <c r="E86" s="332">
        <f t="shared" si="28"/>
        <v>0</v>
      </c>
      <c r="F86" s="332">
        <f t="shared" si="28"/>
        <v>0</v>
      </c>
      <c r="G86" s="332">
        <f t="shared" si="28"/>
        <v>0</v>
      </c>
      <c r="H86" s="332">
        <f t="shared" si="28"/>
        <v>750000</v>
      </c>
      <c r="I86" s="332">
        <f t="shared" si="28"/>
        <v>136364</v>
      </c>
      <c r="J86" s="332">
        <f>ROUND(SUM(J129,J130,J131,J133:J135)/J18,0)</f>
        <v>0</v>
      </c>
      <c r="K86" s="332">
        <f>IF(OR(K22="A",K22="B"),ROUND(SUM(K129,K130,K131,K133:K135)/K18,0),ROUND(SUM(K129,K130,K131,K133:K135)*$B$4/K18,0))</f>
        <v>159091</v>
      </c>
      <c r="L86" s="400">
        <f>IF(OR(L22="A",L22="B"),ROUND(SUM(L129,L130,L131,L133:L135)/L18,0),ROUND(SUM(L129,L130,L131,L133:L135)*$B$4/L18,0))</f>
        <v>0</v>
      </c>
      <c r="M86" s="346">
        <f t="shared" si="25"/>
        <v>1297728</v>
      </c>
      <c r="N86" s="347"/>
      <c r="O86" s="347"/>
      <c r="P86" s="347"/>
      <c r="Q86" s="347"/>
      <c r="R86" s="347"/>
      <c r="AA86"/>
      <c r="AB86"/>
    </row>
    <row r="87" spans="1:28" s="5" customFormat="1">
      <c r="A87" s="445" t="s">
        <v>503</v>
      </c>
      <c r="B87" s="7">
        <f t="shared" ref="B87:L87" si="29">B15/B18*100%</f>
        <v>1</v>
      </c>
      <c r="C87" s="7">
        <f t="shared" si="29"/>
        <v>1</v>
      </c>
      <c r="D87" s="7">
        <f t="shared" si="29"/>
        <v>0</v>
      </c>
      <c r="E87" s="7">
        <f t="shared" si="29"/>
        <v>1</v>
      </c>
      <c r="F87" s="7">
        <f t="shared" si="29"/>
        <v>1</v>
      </c>
      <c r="G87" s="7">
        <f t="shared" si="29"/>
        <v>1</v>
      </c>
      <c r="H87" s="7">
        <f t="shared" si="29"/>
        <v>1</v>
      </c>
      <c r="I87" s="7">
        <f t="shared" si="29"/>
        <v>1</v>
      </c>
      <c r="J87" s="7">
        <f t="shared" si="29"/>
        <v>1</v>
      </c>
      <c r="K87" s="7">
        <f t="shared" si="29"/>
        <v>1</v>
      </c>
      <c r="L87" s="12">
        <f t="shared" si="29"/>
        <v>1</v>
      </c>
      <c r="M87" s="478">
        <f t="shared" si="25"/>
        <v>10</v>
      </c>
      <c r="N87" s="347"/>
      <c r="O87" s="347"/>
      <c r="P87" s="347"/>
      <c r="Q87" s="347"/>
      <c r="R87" s="347"/>
      <c r="AA87"/>
      <c r="AB87"/>
    </row>
    <row r="88" spans="1:28" s="5" customFormat="1">
      <c r="A88" s="463" t="s">
        <v>1215</v>
      </c>
      <c r="B88" s="444"/>
      <c r="C88" s="444"/>
      <c r="D88" s="444">
        <f>D16/'UAT11-Nov'!E17*100%</f>
        <v>0.66666666666666663</v>
      </c>
      <c r="E88" s="444"/>
      <c r="F88" s="444"/>
      <c r="G88" s="444"/>
      <c r="H88" s="444"/>
      <c r="I88" s="444"/>
      <c r="J88" s="444"/>
      <c r="K88" s="444"/>
      <c r="L88" s="444"/>
      <c r="M88" s="509">
        <f t="shared" si="25"/>
        <v>0.66666666666666663</v>
      </c>
      <c r="N88" s="347"/>
      <c r="O88" s="347"/>
      <c r="P88" s="347"/>
      <c r="Q88" s="347"/>
      <c r="R88" s="347"/>
      <c r="AA88"/>
      <c r="AB88"/>
    </row>
    <row r="89" spans="1:28" s="5" customFormat="1">
      <c r="A89" s="445" t="s">
        <v>504</v>
      </c>
      <c r="B89" s="7">
        <f t="shared" ref="B89:L89" si="30">(B15-B136)/261*100%</f>
        <v>8.4291187739463605E-2</v>
      </c>
      <c r="C89" s="7">
        <f t="shared" si="30"/>
        <v>8.4291187739463605E-2</v>
      </c>
      <c r="D89" s="7">
        <f t="shared" si="30"/>
        <v>0</v>
      </c>
      <c r="E89" s="7">
        <f t="shared" si="30"/>
        <v>8.4291187739463605E-2</v>
      </c>
      <c r="F89" s="7">
        <f t="shared" si="30"/>
        <v>8.4291187739463605E-2</v>
      </c>
      <c r="G89" s="7">
        <f t="shared" si="30"/>
        <v>8.4291187739463605E-2</v>
      </c>
      <c r="H89" s="7">
        <f t="shared" si="30"/>
        <v>8.4291187739463605E-2</v>
      </c>
      <c r="I89" s="7">
        <f t="shared" si="30"/>
        <v>8.4291187739463605E-2</v>
      </c>
      <c r="J89" s="7">
        <f t="shared" si="30"/>
        <v>8.4291187739463605E-2</v>
      </c>
      <c r="K89" s="7">
        <f t="shared" si="30"/>
        <v>8.4291187739463605E-2</v>
      </c>
      <c r="L89" s="7">
        <f t="shared" si="30"/>
        <v>8.4291187739463605E-2</v>
      </c>
      <c r="M89" s="478">
        <f t="shared" si="25"/>
        <v>0.84291187739463624</v>
      </c>
      <c r="N89" s="537"/>
      <c r="O89" s="537"/>
      <c r="P89" s="537"/>
      <c r="Q89" s="537"/>
      <c r="R89" s="537"/>
      <c r="AA89"/>
      <c r="AB89"/>
    </row>
    <row r="90" spans="1:28" s="5" customFormat="1">
      <c r="A90" s="445" t="s">
        <v>505</v>
      </c>
      <c r="B90" s="7">
        <f t="shared" ref="B90:L90" si="31">B137/B18*100%</f>
        <v>0</v>
      </c>
      <c r="C90" s="7">
        <f t="shared" si="31"/>
        <v>0</v>
      </c>
      <c r="D90" s="7">
        <f t="shared" si="31"/>
        <v>0</v>
      </c>
      <c r="E90" s="7">
        <f t="shared" si="31"/>
        <v>0</v>
      </c>
      <c r="F90" s="7">
        <f t="shared" si="31"/>
        <v>0</v>
      </c>
      <c r="G90" s="7">
        <f t="shared" si="31"/>
        <v>0</v>
      </c>
      <c r="H90" s="7">
        <f t="shared" si="31"/>
        <v>0</v>
      </c>
      <c r="I90" s="7">
        <f t="shared" si="31"/>
        <v>0</v>
      </c>
      <c r="J90" s="7">
        <f t="shared" si="31"/>
        <v>0</v>
      </c>
      <c r="K90" s="7">
        <f t="shared" si="31"/>
        <v>0</v>
      </c>
      <c r="L90" s="12">
        <f t="shared" si="31"/>
        <v>0</v>
      </c>
      <c r="M90" s="478">
        <f t="shared" si="25"/>
        <v>0</v>
      </c>
      <c r="N90"/>
      <c r="O90" s="347"/>
      <c r="P90" s="347"/>
      <c r="Q90" s="347"/>
      <c r="R90" s="347"/>
      <c r="AA90"/>
      <c r="AB90"/>
    </row>
    <row r="91" spans="1:28" s="5" customFormat="1">
      <c r="A91" s="451" t="s">
        <v>494</v>
      </c>
      <c r="B91" s="332">
        <f>ROUND(X25*B19/365,0)</f>
        <v>679452</v>
      </c>
      <c r="D91" s="332">
        <f>ROUND(X27*D19/365,0)</f>
        <v>0</v>
      </c>
      <c r="E91" s="332">
        <f>ROUND(X28*E19/365,0)</f>
        <v>679452</v>
      </c>
      <c r="F91" s="368"/>
      <c r="G91" s="332"/>
      <c r="H91" s="332"/>
      <c r="I91" s="340"/>
      <c r="J91" s="340"/>
      <c r="K91" s="340"/>
      <c r="L91" s="401"/>
      <c r="M91" s="346">
        <f t="shared" si="25"/>
        <v>1358904</v>
      </c>
      <c r="N91"/>
      <c r="O91" s="347"/>
      <c r="P91" s="347"/>
      <c r="Q91" s="347"/>
      <c r="R91" s="347"/>
      <c r="AA91"/>
      <c r="AB91"/>
    </row>
    <row r="92" spans="1:28" s="5" customFormat="1">
      <c r="A92" s="465" t="s">
        <v>1216</v>
      </c>
      <c r="B92" s="438"/>
      <c r="C92" s="642"/>
      <c r="D92" s="438">
        <f>ROUND(X27*D20/365,0)-'UAT11-Nov'!E90</f>
        <v>-241096</v>
      </c>
      <c r="E92" s="438"/>
      <c r="F92" s="438"/>
      <c r="G92" s="438"/>
      <c r="H92" s="438"/>
      <c r="I92" s="439"/>
      <c r="J92" s="439"/>
      <c r="K92" s="439"/>
      <c r="L92" s="503"/>
      <c r="M92" s="504">
        <f t="shared" si="25"/>
        <v>-241096</v>
      </c>
      <c r="N92" s="379"/>
      <c r="O92" s="379"/>
      <c r="P92" s="379"/>
      <c r="Q92" s="379"/>
      <c r="R92" s="379"/>
      <c r="AA92"/>
      <c r="AB92"/>
    </row>
    <row r="93" spans="1:28" s="5" customFormat="1">
      <c r="A93" s="445" t="s">
        <v>536</v>
      </c>
      <c r="B93" s="332">
        <f>ROUND(X30*B19/365,0)</f>
        <v>594521</v>
      </c>
      <c r="D93" s="332">
        <f>ROUND(X32*D19/365,0)</f>
        <v>0</v>
      </c>
      <c r="E93" s="332">
        <f>ROUND(X33*E19/365,0)</f>
        <v>594521</v>
      </c>
      <c r="F93" s="332"/>
      <c r="G93" s="332"/>
      <c r="H93" s="332"/>
      <c r="I93" s="332"/>
      <c r="J93" s="332"/>
      <c r="K93" s="332"/>
      <c r="L93" s="400"/>
      <c r="M93" s="346">
        <f t="shared" si="25"/>
        <v>1189042</v>
      </c>
      <c r="N93" s="379"/>
      <c r="O93" s="379"/>
      <c r="P93" s="379"/>
      <c r="Q93" s="379"/>
      <c r="R93" s="379"/>
      <c r="AA93"/>
      <c r="AB93"/>
    </row>
    <row r="94" spans="1:28" s="5" customFormat="1">
      <c r="A94" s="463" t="s">
        <v>1217</v>
      </c>
      <c r="B94" s="438"/>
      <c r="C94" s="642"/>
      <c r="D94" s="438">
        <f>ROUND(X32*D20/365,0)-'UAT11-Nov'!E91</f>
        <v>-210958</v>
      </c>
      <c r="E94" s="438"/>
      <c r="F94" s="438"/>
      <c r="G94" s="438"/>
      <c r="H94" s="438"/>
      <c r="I94" s="438"/>
      <c r="J94" s="438"/>
      <c r="K94" s="438"/>
      <c r="L94" s="511"/>
      <c r="M94" s="504">
        <f t="shared" si="25"/>
        <v>-210958</v>
      </c>
      <c r="N94"/>
      <c r="O94"/>
      <c r="P94"/>
      <c r="Q94"/>
      <c r="R94"/>
      <c r="AA94"/>
      <c r="AB94"/>
    </row>
    <row r="95" spans="1:28" s="5" customFormat="1">
      <c r="A95" s="412" t="s">
        <v>613</v>
      </c>
      <c r="B95" s="402"/>
      <c r="C95" s="332"/>
      <c r="D95" s="332"/>
      <c r="E95" s="332"/>
      <c r="F95" s="332"/>
      <c r="G95" s="332">
        <f>X36*B4</f>
        <v>2320500</v>
      </c>
      <c r="H95" s="332"/>
      <c r="I95" s="340"/>
      <c r="J95" s="340"/>
      <c r="K95" s="340"/>
      <c r="L95" s="401"/>
      <c r="M95" s="355">
        <f>SUM(C95:L95)</f>
        <v>2320500</v>
      </c>
      <c r="N95"/>
      <c r="O95"/>
      <c r="P95"/>
      <c r="Q95"/>
      <c r="R95"/>
      <c r="AA95"/>
      <c r="AB95"/>
    </row>
    <row r="96" spans="1:28" s="5" customFormat="1">
      <c r="A96" s="412" t="s">
        <v>614</v>
      </c>
      <c r="B96" s="402"/>
      <c r="C96" s="332"/>
      <c r="D96" s="332"/>
      <c r="E96" s="332"/>
      <c r="F96" s="332"/>
      <c r="G96" s="332">
        <f>X38*B4</f>
        <v>4641000</v>
      </c>
      <c r="H96" s="332"/>
      <c r="I96" s="340"/>
      <c r="J96" s="340"/>
      <c r="K96" s="340"/>
      <c r="L96" s="401"/>
      <c r="M96" s="355">
        <f>SUM(C96:L96)</f>
        <v>4641000</v>
      </c>
      <c r="N96"/>
      <c r="O96"/>
      <c r="P96"/>
      <c r="Q96"/>
      <c r="R96"/>
      <c r="AA96"/>
      <c r="AB96"/>
    </row>
    <row r="97" spans="1:29" s="5" customFormat="1">
      <c r="A97" s="412"/>
      <c r="B97" s="331"/>
      <c r="C97" s="332"/>
      <c r="D97" s="340"/>
      <c r="E97" s="332"/>
      <c r="F97" s="332"/>
      <c r="G97" s="332"/>
      <c r="H97" s="332"/>
      <c r="I97" s="340"/>
      <c r="J97" s="340"/>
      <c r="K97" s="340"/>
      <c r="L97" s="401"/>
      <c r="M97" s="346"/>
      <c r="N97"/>
      <c r="O97"/>
      <c r="P97"/>
      <c r="Q97"/>
      <c r="R97"/>
      <c r="AA97"/>
      <c r="AB97"/>
    </row>
    <row r="98" spans="1:29" s="5" customFormat="1">
      <c r="A98" s="412" t="s">
        <v>579</v>
      </c>
      <c r="B98" s="331">
        <f t="shared" ref="B98:L98" si="32">SUM(B28:B34)</f>
        <v>9100000</v>
      </c>
      <c r="C98" s="332">
        <f t="shared" si="32"/>
        <v>14450000</v>
      </c>
      <c r="D98" s="332">
        <f t="shared" si="32"/>
        <v>-3666667</v>
      </c>
      <c r="E98" s="332">
        <f t="shared" si="32"/>
        <v>16000000</v>
      </c>
      <c r="F98" s="332">
        <f t="shared" si="32"/>
        <v>29006250</v>
      </c>
      <c r="G98" s="332">
        <f t="shared" si="32"/>
        <v>90499500</v>
      </c>
      <c r="H98" s="332">
        <f t="shared" si="32"/>
        <v>71500000</v>
      </c>
      <c r="I98" s="332">
        <f t="shared" si="32"/>
        <v>13000000</v>
      </c>
      <c r="J98" s="332">
        <f t="shared" si="32"/>
        <v>11500000</v>
      </c>
      <c r="K98" s="332">
        <f t="shared" si="32"/>
        <v>12115400</v>
      </c>
      <c r="L98" s="400">
        <f t="shared" si="32"/>
        <v>4500000</v>
      </c>
      <c r="M98" s="346">
        <f t="shared" ref="M98:M111" si="33">SUM(B98:L98)</f>
        <v>268004483</v>
      </c>
      <c r="N98"/>
      <c r="O98"/>
      <c r="P98"/>
      <c r="Q98"/>
      <c r="R98"/>
      <c r="AA98"/>
      <c r="AB98"/>
    </row>
    <row r="99" spans="1:29" s="5" customFormat="1">
      <c r="A99" s="445" t="s">
        <v>580</v>
      </c>
      <c r="B99" s="332">
        <f t="shared" ref="B99:L99" si="34">SUM(B28:B32,B36,B38,B78)</f>
        <v>9980722</v>
      </c>
      <c r="C99" s="332">
        <f t="shared" si="34"/>
        <v>14450000</v>
      </c>
      <c r="D99" s="332">
        <f t="shared" si="34"/>
        <v>-3666667</v>
      </c>
      <c r="E99" s="332">
        <f t="shared" si="34"/>
        <v>16679452</v>
      </c>
      <c r="F99" s="332">
        <f t="shared" si="34"/>
        <v>29006250</v>
      </c>
      <c r="G99" s="332">
        <f t="shared" si="34"/>
        <v>90499500</v>
      </c>
      <c r="H99" s="332">
        <f t="shared" si="34"/>
        <v>71500000</v>
      </c>
      <c r="I99" s="332">
        <f t="shared" si="34"/>
        <v>13000000</v>
      </c>
      <c r="J99" s="332">
        <f t="shared" si="34"/>
        <v>11500000</v>
      </c>
      <c r="K99" s="332">
        <f t="shared" si="34"/>
        <v>11307700</v>
      </c>
      <c r="L99" s="332">
        <f t="shared" si="34"/>
        <v>4500000</v>
      </c>
      <c r="M99" s="346">
        <f t="shared" si="33"/>
        <v>268756957</v>
      </c>
      <c r="N99"/>
      <c r="O99"/>
      <c r="P99"/>
      <c r="Q99"/>
      <c r="R99"/>
      <c r="AA99" s="293"/>
      <c r="AB99"/>
    </row>
    <row r="100" spans="1:29" s="5" customFormat="1">
      <c r="A100" s="445" t="s">
        <v>581</v>
      </c>
      <c r="B100" s="332">
        <f t="shared" ref="B100:I100" si="35">IF(B17&lt;B18/2,0,IF(OR(B22="A",B22="B"),SUM(B127,B129,B130,B132),B141))</f>
        <v>9100000</v>
      </c>
      <c r="C100" s="332">
        <f t="shared" si="35"/>
        <v>14450000</v>
      </c>
      <c r="D100" s="332">
        <f t="shared" si="35"/>
        <v>0</v>
      </c>
      <c r="E100" s="332">
        <f t="shared" si="35"/>
        <v>16000000</v>
      </c>
      <c r="F100" s="332">
        <f t="shared" si="35"/>
        <v>0</v>
      </c>
      <c r="G100" s="332">
        <f t="shared" si="35"/>
        <v>183300000</v>
      </c>
      <c r="H100" s="332">
        <f t="shared" si="35"/>
        <v>71500000</v>
      </c>
      <c r="I100" s="332">
        <f t="shared" si="35"/>
        <v>13000000</v>
      </c>
      <c r="J100" s="332">
        <f>SUM(J127,J129,J130,J132)</f>
        <v>11500000</v>
      </c>
      <c r="K100" s="332">
        <f>IF(K17&lt;K18/2,0,IF(OR(K22="A",K22="B"),SUM(K127,K129,K130,K132),K141))</f>
        <v>10500000</v>
      </c>
      <c r="L100" s="400">
        <f>IF(L17&lt;L18/2,0,IF(OR(L22="A",L22="B"),SUM(L127,L129,L130,L132),L141))</f>
        <v>0</v>
      </c>
      <c r="M100" s="346">
        <f t="shared" si="33"/>
        <v>329350000</v>
      </c>
      <c r="N100"/>
      <c r="O100"/>
      <c r="P100"/>
      <c r="Q100"/>
      <c r="R100"/>
      <c r="AA100" s="293"/>
      <c r="AB100"/>
    </row>
    <row r="101" spans="1:29" s="5" customFormat="1">
      <c r="A101" s="412" t="s">
        <v>586</v>
      </c>
      <c r="B101" s="332">
        <f t="shared" ref="B101:I101" si="36">IF(OR(B22="A",B22="B"),SUM(B140,B129,B130,B133,B134,B132),SUM(B140,B132)*$B$4)</f>
        <v>9100000</v>
      </c>
      <c r="C101" s="332">
        <f t="shared" si="36"/>
        <v>14450000</v>
      </c>
      <c r="D101" s="332">
        <f t="shared" si="36"/>
        <v>11000000</v>
      </c>
      <c r="E101" s="332">
        <f t="shared" si="36"/>
        <v>16000000</v>
      </c>
      <c r="F101" s="332">
        <f t="shared" si="36"/>
        <v>0</v>
      </c>
      <c r="G101" s="332">
        <f t="shared" si="36"/>
        <v>90499500</v>
      </c>
      <c r="H101" s="332">
        <f t="shared" si="36"/>
        <v>71500000</v>
      </c>
      <c r="I101" s="332">
        <f t="shared" si="36"/>
        <v>13000000</v>
      </c>
      <c r="J101" s="332">
        <f>SUM(J140,J129,J130,J133,J134,J132)</f>
        <v>11500000</v>
      </c>
      <c r="K101" s="332">
        <f>IF(OR(K22="A",K22="B"),SUM(K140,K129,K130,K133,K134,K132),SUM(K140,K132)*$B$4)</f>
        <v>10500000</v>
      </c>
      <c r="L101" s="400">
        <f>IF(OR(L22="A",L22="B"),SUM(L140,L129,L130,L133,L134,L132),SUM(L140,L132)*$B$4)</f>
        <v>0</v>
      </c>
      <c r="M101" s="346">
        <f t="shared" si="33"/>
        <v>247549500</v>
      </c>
      <c r="N101"/>
      <c r="O101"/>
      <c r="P101"/>
      <c r="Q101"/>
      <c r="R101"/>
      <c r="AA101" s="293"/>
      <c r="AB101"/>
    </row>
    <row r="102" spans="1:29" s="5" customFormat="1">
      <c r="A102" s="412" t="s">
        <v>483</v>
      </c>
      <c r="B102" s="332">
        <f>ROUND('UAT11-Nov'!B68/6,0)</f>
        <v>11343333</v>
      </c>
      <c r="C102" s="332">
        <f>ROUND('UAT11-Nov'!D68/2,0)</f>
        <v>14450000</v>
      </c>
      <c r="D102" s="332">
        <f>ROUND('UAT11-Nov'!E68/6,0)</f>
        <v>13065556</v>
      </c>
      <c r="E102" s="332">
        <f>ROUND('UAT11-Nov'!F68/6,0)</f>
        <v>18243333</v>
      </c>
      <c r="F102" s="332">
        <f>ROUND('UAT11-Nov'!G68/6,0)</f>
        <v>0</v>
      </c>
      <c r="G102" s="332">
        <f>ROUND('UAT11-Nov'!I68/6,0)</f>
        <v>92046500</v>
      </c>
      <c r="H102" s="332">
        <f>ROUND('UAT11-Nov'!J68/6,0)</f>
        <v>73743333</v>
      </c>
      <c r="I102" s="332">
        <f>ROUND('UAT11-Nov'!K68/6,0)</f>
        <v>15243333</v>
      </c>
      <c r="J102" s="332">
        <f>ROUND('UAT11-Nov'!L68/6,0)</f>
        <v>13743333</v>
      </c>
      <c r="K102" s="332">
        <f>ROUND('UAT11-Nov'!M68/6,0)</f>
        <v>12710000</v>
      </c>
      <c r="L102" s="400">
        <f>ROUND('UAT11-Nov'!O68/6,0)</f>
        <v>2000000</v>
      </c>
      <c r="M102" s="346">
        <f t="shared" si="33"/>
        <v>266588721</v>
      </c>
      <c r="N102"/>
      <c r="O102"/>
      <c r="P102"/>
      <c r="Q102"/>
      <c r="R102"/>
      <c r="AA102" s="293"/>
      <c r="AB102"/>
    </row>
    <row r="103" spans="1:29" s="5" customFormat="1">
      <c r="A103" s="445" t="s">
        <v>486</v>
      </c>
      <c r="B103" s="332">
        <f>B99</f>
        <v>9980722</v>
      </c>
      <c r="C103" s="332">
        <f t="shared" ref="C103:L103" si="37">C99</f>
        <v>14450000</v>
      </c>
      <c r="D103" s="332">
        <f t="shared" si="37"/>
        <v>-3666667</v>
      </c>
      <c r="E103" s="332">
        <f t="shared" si="37"/>
        <v>16679452</v>
      </c>
      <c r="F103" s="332">
        <f t="shared" si="37"/>
        <v>29006250</v>
      </c>
      <c r="G103" s="332">
        <f t="shared" si="37"/>
        <v>90499500</v>
      </c>
      <c r="H103" s="332">
        <f t="shared" si="37"/>
        <v>71500000</v>
      </c>
      <c r="I103" s="332">
        <f t="shared" si="37"/>
        <v>13000000</v>
      </c>
      <c r="J103" s="332">
        <f t="shared" si="37"/>
        <v>11500000</v>
      </c>
      <c r="K103" s="332">
        <f t="shared" si="37"/>
        <v>11307700</v>
      </c>
      <c r="L103" s="400">
        <f t="shared" si="37"/>
        <v>4500000</v>
      </c>
      <c r="M103" s="346">
        <f t="shared" si="33"/>
        <v>268756957</v>
      </c>
      <c r="N103"/>
      <c r="O103"/>
      <c r="P103"/>
      <c r="Q103"/>
      <c r="R103"/>
      <c r="AA103" s="293"/>
      <c r="AB103"/>
    </row>
    <row r="104" spans="1:29" s="5" customFormat="1">
      <c r="A104" s="445" t="s">
        <v>607</v>
      </c>
      <c r="B104" s="332">
        <f t="shared" ref="B104:L104" si="38">SUM(B45:B47)</f>
        <v>955500</v>
      </c>
      <c r="C104" s="332">
        <f t="shared" si="38"/>
        <v>361250</v>
      </c>
      <c r="D104" s="332">
        <f t="shared" si="38"/>
        <v>0</v>
      </c>
      <c r="E104" s="332">
        <f t="shared" si="38"/>
        <v>0</v>
      </c>
      <c r="F104" s="332">
        <f t="shared" si="38"/>
        <v>0</v>
      </c>
      <c r="G104" s="332">
        <f t="shared" si="38"/>
        <v>447000</v>
      </c>
      <c r="H104" s="332">
        <f t="shared" si="38"/>
        <v>3546000</v>
      </c>
      <c r="I104" s="332">
        <f t="shared" si="38"/>
        <v>0</v>
      </c>
      <c r="J104" s="332">
        <f t="shared" si="38"/>
        <v>1207500</v>
      </c>
      <c r="K104" s="332">
        <f t="shared" si="38"/>
        <v>0</v>
      </c>
      <c r="L104" s="400">
        <f t="shared" si="38"/>
        <v>0</v>
      </c>
      <c r="M104" s="346">
        <f t="shared" si="33"/>
        <v>6517250</v>
      </c>
      <c r="N104"/>
      <c r="O104"/>
      <c r="P104"/>
      <c r="Q104"/>
      <c r="R104"/>
      <c r="AA104" s="293"/>
      <c r="AB104" s="81"/>
      <c r="AC104" s="80"/>
    </row>
    <row r="105" spans="1:29">
      <c r="A105" s="445" t="s">
        <v>902</v>
      </c>
      <c r="B105" s="332">
        <f t="shared" ref="B105:L105" si="39">IF(OR(B22="A",B22="C"),B103-B104,B103)</f>
        <v>9025222</v>
      </c>
      <c r="C105" s="332">
        <f t="shared" si="39"/>
        <v>14088750</v>
      </c>
      <c r="D105" s="332">
        <f t="shared" si="39"/>
        <v>-3666667</v>
      </c>
      <c r="E105" s="332">
        <f t="shared" si="39"/>
        <v>16679452</v>
      </c>
      <c r="F105" s="332">
        <f t="shared" si="39"/>
        <v>29006250</v>
      </c>
      <c r="G105" s="332">
        <f t="shared" si="39"/>
        <v>90499500</v>
      </c>
      <c r="H105" s="332">
        <f t="shared" si="39"/>
        <v>67954000</v>
      </c>
      <c r="I105" s="332">
        <f t="shared" si="39"/>
        <v>13000000</v>
      </c>
      <c r="J105" s="332">
        <f t="shared" si="39"/>
        <v>11500000</v>
      </c>
      <c r="K105" s="332">
        <f t="shared" si="39"/>
        <v>11307700</v>
      </c>
      <c r="L105" s="400">
        <f t="shared" si="39"/>
        <v>4500000</v>
      </c>
      <c r="M105" s="346">
        <f t="shared" si="33"/>
        <v>263894207</v>
      </c>
      <c r="AA105" s="293"/>
      <c r="AB105" s="81"/>
      <c r="AC105" s="81"/>
    </row>
    <row r="106" spans="1:29">
      <c r="A106" s="445" t="s">
        <v>903</v>
      </c>
      <c r="B106" s="332">
        <f t="shared" ref="B106:L106" si="40">IF(OR(B22="A",B22="C"),MAX(B105-B25-B24*B23,0),B105)</f>
        <v>0</v>
      </c>
      <c r="C106" s="332">
        <f t="shared" si="40"/>
        <v>5088750</v>
      </c>
      <c r="D106" s="332">
        <f t="shared" si="40"/>
        <v>-3666667</v>
      </c>
      <c r="E106" s="332">
        <f t="shared" si="40"/>
        <v>16679452</v>
      </c>
      <c r="F106" s="332">
        <f t="shared" si="40"/>
        <v>20006250</v>
      </c>
      <c r="G106" s="332">
        <f t="shared" si="40"/>
        <v>90499500</v>
      </c>
      <c r="H106" s="332">
        <f t="shared" si="40"/>
        <v>58954000</v>
      </c>
      <c r="I106" s="332">
        <f t="shared" si="40"/>
        <v>4000000</v>
      </c>
      <c r="J106" s="332">
        <f t="shared" si="40"/>
        <v>11500000</v>
      </c>
      <c r="K106" s="332">
        <f t="shared" si="40"/>
        <v>2307700</v>
      </c>
      <c r="L106" s="400">
        <f t="shared" si="40"/>
        <v>4500000</v>
      </c>
      <c r="M106" s="346">
        <f t="shared" si="33"/>
        <v>209868985</v>
      </c>
      <c r="AA106" s="293"/>
      <c r="AB106" s="81"/>
      <c r="AC106" s="81"/>
    </row>
    <row r="107" spans="1:29">
      <c r="A107" s="445" t="s">
        <v>906</v>
      </c>
      <c r="B107" s="332">
        <f>IF(OR(B22="A",B22="C"),ROUND(MAX(B106*{5;10;15;20;25;30;35}%-{0;0.25;0.75;1.65;3.25;5.85;9.85}*1000000,0),0),IF(B22="B",IF(B106&lt;2000000,0,ROUND(B106*10%,0)),ROUND(B106*20%,0)))</f>
        <v>0</v>
      </c>
      <c r="C107" s="332">
        <f>IF(OR(C22="A",C22="C"),ROUND(MAX(C106*{5;10;15;20;25;30;35}%-{0;0.25;0.75;1.65;3.25;5.85;9.85}*1000000,0),0),IF(C22="B",IF(C106&lt;2000000,0,ROUND(C106*10%,0)),ROUND(C106*20%,0)))</f>
        <v>258875</v>
      </c>
      <c r="D107" s="332">
        <f>IF(OR(D22="A",D22="C"),ROUND(MAX(D106*{5;10;15;20;25;30;35}%-{0;0.25;0.75;1.65;3.25;5.85;9.85}*1000000,0),0),IF(D22="B",IF(D106&lt;2000000,0,ROUND(D106*10%,0)),ROUND(D106*20%,0)))</f>
        <v>0</v>
      </c>
      <c r="E107" s="332">
        <f>IF(OR(E22="A",E22="C"),ROUND(MAX(E106*{5;10;15;20;25;30;35}%-{0;0.25;0.75;1.65;3.25;5.85;9.85}*1000000,0),0),IF(E22="B",IF(E106&lt;2000000,0,ROUND(E106*10%,0)),ROUND(E106*20%,0)))</f>
        <v>1667945</v>
      </c>
      <c r="F107" s="332">
        <f>IF(OR(F22="A",F22="C"),ROUND(MAX(F106*{5;10;15;20;25;30;35}%-{0;0.25;0.75;1.65;3.25;5.85;9.85}*1000000,0),0),IF(F22="B",IF(F106&lt;2000000,0,ROUND(F106*10%,0)),ROUND(F106*20%,0)))</f>
        <v>2351250</v>
      </c>
      <c r="G107" s="332">
        <f>IF(OR(G22="A",G22="C"),ROUND(MAX(G106*{5;10;15;20;25;30;35}%-{0;0.25;0.75;1.65;3.25;5.85;9.85}*1000000,0),0),IF(G22="B",IF(G106&lt;2000000,0,ROUND(G106*10%,0)),ROUND(G106*20%,0)))</f>
        <v>18099900</v>
      </c>
      <c r="H107" s="332">
        <f>IF(OR(H22="A",H22="C"),ROUND(MAX(H106*{5;10;15;20;25;30;35}%-{0;0.25;0.75;1.65;3.25;5.85;9.85}*1000000,0),0),IF(H22="B",IF(H106&lt;2000000,0,ROUND(H106*10%,0)),ROUND(H106*20%,0)))</f>
        <v>11836200</v>
      </c>
      <c r="I107" s="332">
        <f>IF(OR(I22="A",I22="C"),ROUND(MAX(I106*{5;10;15;20;25;30;35}%-{0;0.25;0.75;1.65;3.25;5.85;9.85}*1000000,0),0),IF(I22="B",IF(I106&lt;2000000,0,ROUND(I106*10%,0)),ROUND(I106*20%,0)))</f>
        <v>200000</v>
      </c>
      <c r="J107" s="332">
        <f>IF(OR(J22="A",J22="C"),ROUND(MAX(J106*{5;10;15;20;25;30;35}%-{0;0.25;0.75;1.65;3.25;5.85;9.85}*1000000,0),0),IF(J22="B",IF(J106&lt;2000000,0,ROUND(J106*10%,0)),ROUND(J106*20%,0)))</f>
        <v>2300000</v>
      </c>
      <c r="K107" s="332">
        <f>IF(OR(K22="A",K22="C"),ROUND(MAX(K106*{5;10;15;20;25;30;35}%-{0;0.25;0.75;1.65;3.25;5.85;9.85}*1000000,0),0),IF(K22="B",IF(K106&lt;2000000,0,ROUND(K106*10%,0)),ROUND(K106*20%,0)))</f>
        <v>115385</v>
      </c>
      <c r="L107" s="400">
        <f>IF(OR(L22="A",L22="C"),ROUND(MAX(L106*{5;10;15;20;25;30;35}%-{0;0.25;0.75;1.65;3.25;5.85;9.85}*1000000,0),0),IF(L22="B",IF(L106&lt;2000000,0,ROUND(L106*10%,0)),ROUND(L106*20%,0)))</f>
        <v>450000</v>
      </c>
      <c r="M107" s="346">
        <f t="shared" si="33"/>
        <v>37279555</v>
      </c>
      <c r="AA107" s="293"/>
      <c r="AB107" s="81"/>
      <c r="AC107" s="81"/>
    </row>
    <row r="108" spans="1:29">
      <c r="A108" s="463" t="s">
        <v>1228</v>
      </c>
      <c r="B108" s="438"/>
      <c r="C108" s="438"/>
      <c r="D108" s="438"/>
      <c r="E108" s="438"/>
      <c r="F108" s="438"/>
      <c r="G108" s="438"/>
      <c r="H108" s="438"/>
      <c r="I108" s="438"/>
      <c r="J108" s="438">
        <f>ROUND('UAT11-Nov'!L96*20%,0)+ROUND('UAT10-Oct'!L121*20%,0)+ROUND('UAT9-Sep'!L123*20%,0)+ROUND('UAT8-Aug'!L95*20%,0)+ROUND('UAT7-Jul'!L103*20%,0)+ROUND('UAT6-Jun'!L117*20%,0)+ROUND('UAT5-May'!L82*20%,0)+ROUND('UAT4-Apr'!L93*20%,0)+ROUND('UAT3-Mar'!L100*20%,0)+ROUND('UAT2-Feb'!L97*20%,0)+ROUND('UAT1-Jan'!L93*20%,0)-'UAT11-Nov'!L106</f>
        <v>18755086</v>
      </c>
      <c r="K108" s="438"/>
      <c r="L108" s="511"/>
      <c r="M108" s="504">
        <f t="shared" si="33"/>
        <v>18755086</v>
      </c>
      <c r="AA108" s="293"/>
      <c r="AB108" s="81"/>
      <c r="AC108" s="81"/>
    </row>
    <row r="109" spans="1:29">
      <c r="A109" s="445" t="s">
        <v>922</v>
      </c>
      <c r="B109" s="332">
        <f>B103+'UAT11-Nov'!B105</f>
        <v>149301979</v>
      </c>
      <c r="C109" s="332">
        <f>C103+'UAT11-Nov'!D105</f>
        <v>110365899</v>
      </c>
      <c r="D109" s="332">
        <f>D103+'UAT11-Nov'!E105</f>
        <v>176457398</v>
      </c>
      <c r="E109" s="332">
        <f>E103+'UAT11-Nov'!F105</f>
        <v>216809348</v>
      </c>
      <c r="F109" s="332">
        <f>F103+'UAT11-Nov'!G105</f>
        <v>487305000</v>
      </c>
      <c r="G109" s="332">
        <f>G103+'UAT11-Nov'!I105</f>
        <v>1192385190.8621001</v>
      </c>
      <c r="H109" s="332">
        <f>H103+'UAT11-Nov'!J105</f>
        <v>775225262</v>
      </c>
      <c r="I109" s="332">
        <f>I103+'UAT11-Nov'!K105</f>
        <v>168257728</v>
      </c>
      <c r="J109" s="332">
        <f>J103+'UAT11-Nov'!L105</f>
        <v>525589353</v>
      </c>
      <c r="K109" s="332">
        <f>K103+'UAT11-Nov'!M105</f>
        <v>117565860</v>
      </c>
      <c r="L109" s="400">
        <f>L103+'UAT11-Nov'!O105</f>
        <v>54500000</v>
      </c>
      <c r="M109" s="346">
        <f t="shared" si="33"/>
        <v>3973763017.8621001</v>
      </c>
      <c r="AA109" s="293"/>
      <c r="AB109" s="81"/>
      <c r="AC109" s="81"/>
    </row>
    <row r="110" spans="1:29">
      <c r="A110" s="445" t="s">
        <v>488</v>
      </c>
      <c r="B110" s="332">
        <f>B107+B108+'UAT11-Nov'!B106</f>
        <v>2113683</v>
      </c>
      <c r="C110" s="332">
        <f>C107+C108+'UAT11-Nov'!D106</f>
        <v>937750</v>
      </c>
      <c r="D110" s="332">
        <f>D107+D108+'UAT11-Nov'!E106</f>
        <v>19031773</v>
      </c>
      <c r="E110" s="332">
        <f>E107+E108+'UAT11-Nov'!F106</f>
        <v>21680932</v>
      </c>
      <c r="F110" s="332">
        <f>F107+F108+'UAT11-Nov'!G106</f>
        <v>76456375</v>
      </c>
      <c r="G110" s="332">
        <f>G107+G108+'UAT11-Nov'!I106</f>
        <v>238560438</v>
      </c>
      <c r="H110" s="332">
        <f>H107+H108+'UAT11-Nov'!J106</f>
        <v>129143729</v>
      </c>
      <c r="I110" s="332">
        <f>I107+I108+'UAT11-Nov'!K106</f>
        <v>5751546</v>
      </c>
      <c r="J110" s="332">
        <f>J107+J108+'UAT11-Nov'!L106</f>
        <v>107280071</v>
      </c>
      <c r="K110" s="332">
        <f>K107+K108+'UAT11-Nov'!M106</f>
        <v>853295</v>
      </c>
      <c r="L110" s="400">
        <f>L107+L108+'UAT11-Nov'!O106</f>
        <v>5450000</v>
      </c>
      <c r="M110" s="346">
        <f t="shared" si="33"/>
        <v>607259592</v>
      </c>
      <c r="AA110" s="293"/>
      <c r="AB110" s="81"/>
      <c r="AC110" s="81"/>
    </row>
    <row r="111" spans="1:29">
      <c r="A111" s="445" t="s">
        <v>489</v>
      </c>
      <c r="B111" s="332">
        <f>B104+'UAT11-Nov'!B107</f>
        <v>10248000</v>
      </c>
      <c r="C111" s="332">
        <f>C104+'UAT11-Nov'!D107</f>
        <v>2321250</v>
      </c>
      <c r="D111" s="332">
        <f>D104+'UAT11-Nov'!E107</f>
        <v>9712500</v>
      </c>
      <c r="E111" s="332">
        <f>E104+'UAT11-Nov'!F107</f>
        <v>0</v>
      </c>
      <c r="F111" s="332">
        <f>F104+'UAT11-Nov'!G107</f>
        <v>0</v>
      </c>
      <c r="G111" s="332">
        <f>G104+'UAT11-Nov'!I107</f>
        <v>5694000</v>
      </c>
      <c r="H111" s="332">
        <f>H104+'UAT11-Nov'!J107</f>
        <v>41970000</v>
      </c>
      <c r="I111" s="332">
        <f>I104+'UAT11-Nov'!K107</f>
        <v>0</v>
      </c>
      <c r="J111" s="332">
        <f>J104+'UAT11-Nov'!L107</f>
        <v>30678500</v>
      </c>
      <c r="K111" s="332">
        <f>K104+'UAT11-Nov'!M107</f>
        <v>0</v>
      </c>
      <c r="L111" s="400">
        <f>L104+'UAT11-Nov'!O107</f>
        <v>0</v>
      </c>
      <c r="M111" s="346">
        <f t="shared" si="33"/>
        <v>100624250</v>
      </c>
      <c r="AA111" s="293"/>
      <c r="AB111" s="81"/>
      <c r="AC111" s="81"/>
    </row>
    <row r="112" spans="1:29">
      <c r="A112" s="445"/>
      <c r="B112" s="332"/>
      <c r="C112" s="332"/>
      <c r="D112" s="332"/>
      <c r="E112" s="332"/>
      <c r="F112" s="332"/>
      <c r="G112" s="332"/>
      <c r="H112" s="332"/>
      <c r="I112" s="332"/>
      <c r="J112" s="332"/>
      <c r="K112" s="332"/>
      <c r="L112" s="400"/>
      <c r="M112" s="557"/>
      <c r="AA112" s="293"/>
      <c r="AB112" s="81"/>
      <c r="AC112" s="81"/>
    </row>
    <row r="113" spans="1:29" ht="15.6">
      <c r="A113" s="411" t="s">
        <v>825</v>
      </c>
      <c r="B113" s="14"/>
      <c r="C113" s="7"/>
      <c r="D113" s="322"/>
      <c r="E113" s="7"/>
      <c r="F113" s="7"/>
      <c r="G113" s="7"/>
      <c r="H113" s="7"/>
      <c r="I113" s="322"/>
      <c r="J113" s="322"/>
      <c r="K113" s="322"/>
      <c r="L113" s="381"/>
      <c r="M113" s="557"/>
      <c r="AA113" s="293"/>
      <c r="AB113" s="81"/>
      <c r="AC113" s="81"/>
    </row>
    <row r="114" spans="1:29">
      <c r="A114" s="445" t="s">
        <v>432</v>
      </c>
      <c r="B114" s="549">
        <f>'UAT11-Nov'!B117-B80*8</f>
        <v>150</v>
      </c>
      <c r="C114" s="549">
        <f>'UAT11-Nov'!D117-C80*8</f>
        <v>40</v>
      </c>
      <c r="D114" s="645">
        <f>ROUND(D121,0)</f>
        <v>142</v>
      </c>
      <c r="E114" s="549">
        <f>'UAT11-Nov'!F117-E80*8</f>
        <v>-40</v>
      </c>
      <c r="F114" s="549">
        <f>'UAT11-Nov'!G117-F80*8</f>
        <v>0</v>
      </c>
      <c r="G114" s="549">
        <f>'UAT11-Nov'!I117-G80*8</f>
        <v>0</v>
      </c>
      <c r="H114" s="549">
        <f>'UAT11-Nov'!J117-H80*8</f>
        <v>44</v>
      </c>
      <c r="I114" s="549">
        <f>'UAT11-Nov'!K117-I80*8</f>
        <v>160</v>
      </c>
      <c r="J114" s="549">
        <f>'UAT11-Nov'!L117-J80*8</f>
        <v>160</v>
      </c>
      <c r="K114" s="549">
        <f>'UAT11-Nov'!M117-K80*8</f>
        <v>155</v>
      </c>
      <c r="L114" s="549">
        <f>'UAT11-Nov'!O117-L80*8</f>
        <v>0</v>
      </c>
      <c r="M114" s="557">
        <f>SUM(B114:L114)</f>
        <v>811</v>
      </c>
      <c r="AA114" s="293"/>
      <c r="AB114" s="81"/>
      <c r="AC114" s="81"/>
    </row>
    <row r="115" spans="1:29" s="160" customFormat="1">
      <c r="A115" s="445" t="s">
        <v>433</v>
      </c>
      <c r="B115" s="549">
        <f>'UAT11-Nov'!B118</f>
        <v>79</v>
      </c>
      <c r="C115" s="549">
        <f>'UAT11-Nov'!D118</f>
        <v>20</v>
      </c>
      <c r="D115" s="645">
        <f>ROUND(D122,0)</f>
        <v>71</v>
      </c>
      <c r="E115" s="549">
        <f>'UAT11-Nov'!F118</f>
        <v>64</v>
      </c>
      <c r="F115" s="549">
        <f>'UAT11-Nov'!G118</f>
        <v>0</v>
      </c>
      <c r="G115" s="549">
        <f>'UAT11-Nov'!I118</f>
        <v>0</v>
      </c>
      <c r="H115" s="549">
        <f>'UAT11-Nov'!J118</f>
        <v>22</v>
      </c>
      <c r="I115" s="549">
        <f>'UAT11-Nov'!K118</f>
        <v>80</v>
      </c>
      <c r="J115" s="549">
        <f>'UAT11-Nov'!L118</f>
        <v>80</v>
      </c>
      <c r="K115" s="549">
        <f>'UAT11-Nov'!M118</f>
        <v>77</v>
      </c>
      <c r="L115" s="550">
        <f>'UAT11-Nov'!O118</f>
        <v>0</v>
      </c>
      <c r="M115" s="557">
        <f>SUM(B115:L115)</f>
        <v>493</v>
      </c>
      <c r="N115"/>
      <c r="O115"/>
      <c r="P115"/>
      <c r="Q115"/>
      <c r="R115"/>
      <c r="S115" s="5"/>
      <c r="T115" s="5"/>
      <c r="U115" s="5"/>
      <c r="V115" s="5"/>
      <c r="W115" s="5"/>
      <c r="X115" s="5"/>
      <c r="Y115" s="5"/>
      <c r="Z115" s="5"/>
      <c r="AA115" s="293"/>
      <c r="AB115" s="81"/>
      <c r="AC115" s="288"/>
    </row>
    <row r="116" spans="1:29">
      <c r="A116" s="445" t="s">
        <v>434</v>
      </c>
      <c r="B116" s="555">
        <f>'UAT11-Nov'!B119</f>
        <v>0</v>
      </c>
      <c r="C116" s="555">
        <f>'UAT11-Nov'!D119</f>
        <v>0</v>
      </c>
      <c r="D116" s="555">
        <f>'UAT11-Nov'!E119</f>
        <v>0</v>
      </c>
      <c r="E116" s="555">
        <f>'UAT11-Nov'!F119</f>
        <v>22.01</v>
      </c>
      <c r="F116" s="555">
        <f>'UAT11-Nov'!G119</f>
        <v>0</v>
      </c>
      <c r="G116" s="555">
        <f>'UAT11-Nov'!I119</f>
        <v>0</v>
      </c>
      <c r="H116" s="555">
        <f>'UAT11-Nov'!J119</f>
        <v>0</v>
      </c>
      <c r="I116" s="555">
        <f>'UAT11-Nov'!K119</f>
        <v>0</v>
      </c>
      <c r="J116" s="555">
        <f>'UAT11-Nov'!L119</f>
        <v>0</v>
      </c>
      <c r="K116" s="555">
        <f>'UAT11-Nov'!M119</f>
        <v>0</v>
      </c>
      <c r="L116" s="556">
        <f>'UAT11-Nov'!O119</f>
        <v>0</v>
      </c>
      <c r="M116" s="559">
        <f>SUM(B116:L116)</f>
        <v>22.01</v>
      </c>
      <c r="AA116" s="293"/>
      <c r="AB116" s="288"/>
      <c r="AC116" s="81"/>
    </row>
    <row r="117" spans="1:29">
      <c r="A117" s="445" t="s">
        <v>435</v>
      </c>
      <c r="B117" s="555">
        <f>'UAT11-Nov'!B120</f>
        <v>4.54</v>
      </c>
      <c r="C117" s="555">
        <f>'UAT11-Nov'!D120</f>
        <v>0</v>
      </c>
      <c r="D117" s="555">
        <f>'UAT11-Nov'!E120</f>
        <v>0</v>
      </c>
      <c r="E117" s="555">
        <f>'UAT11-Nov'!F120</f>
        <v>0</v>
      </c>
      <c r="F117" s="555">
        <f>'UAT11-Nov'!G120</f>
        <v>0</v>
      </c>
      <c r="G117" s="555">
        <f>'UAT11-Nov'!I120</f>
        <v>0</v>
      </c>
      <c r="H117" s="555">
        <f>'UAT11-Nov'!J120</f>
        <v>0</v>
      </c>
      <c r="I117" s="555">
        <f>'UAT11-Nov'!K120</f>
        <v>5</v>
      </c>
      <c r="J117" s="555">
        <f>'UAT11-Nov'!L120</f>
        <v>4.5</v>
      </c>
      <c r="K117" s="555">
        <f>'UAT11-Nov'!M120</f>
        <v>0</v>
      </c>
      <c r="L117" s="556">
        <f>'UAT11-Nov'!O120</f>
        <v>0</v>
      </c>
      <c r="M117" s="559">
        <f>SUM(B117:L117)</f>
        <v>14.04</v>
      </c>
      <c r="AA117" s="293"/>
      <c r="AB117" s="81"/>
      <c r="AC117" s="81"/>
    </row>
    <row r="118" spans="1:29" s="5" customFormat="1">
      <c r="A118" s="445" t="s">
        <v>436</v>
      </c>
      <c r="B118" s="555">
        <f>'UAT11-Nov'!B121</f>
        <v>13.58</v>
      </c>
      <c r="C118" s="555">
        <f>'UAT11-Nov'!D121</f>
        <v>0</v>
      </c>
      <c r="D118" s="555">
        <f>'UAT11-Nov'!E121</f>
        <v>0</v>
      </c>
      <c r="E118" s="555">
        <f>'UAT11-Nov'!F121</f>
        <v>0</v>
      </c>
      <c r="F118" s="555">
        <f>'UAT11-Nov'!G121</f>
        <v>0</v>
      </c>
      <c r="G118" s="555">
        <f>'UAT11-Nov'!I121</f>
        <v>0</v>
      </c>
      <c r="H118" s="555">
        <f>'UAT11-Nov'!J121</f>
        <v>0</v>
      </c>
      <c r="I118" s="555">
        <f>'UAT11-Nov'!K121</f>
        <v>0</v>
      </c>
      <c r="J118" s="555">
        <f>'UAT11-Nov'!L121</f>
        <v>0</v>
      </c>
      <c r="K118" s="555">
        <f>'UAT11-Nov'!M121</f>
        <v>0</v>
      </c>
      <c r="L118" s="556">
        <f>'UAT11-Nov'!O121</f>
        <v>0</v>
      </c>
      <c r="M118" s="557">
        <f>SUM(B118:L118)</f>
        <v>13.58</v>
      </c>
      <c r="N118"/>
      <c r="O118"/>
      <c r="P118"/>
      <c r="Q118"/>
      <c r="R118"/>
      <c r="AA118" s="293"/>
      <c r="AB118" s="81"/>
      <c r="AC118" s="80"/>
    </row>
    <row r="119" spans="1:29" s="5" customFormat="1">
      <c r="A119" s="445"/>
      <c r="H119"/>
      <c r="I119"/>
      <c r="J119"/>
      <c r="K119"/>
      <c r="L119"/>
      <c r="M119" s="347"/>
      <c r="N119"/>
      <c r="O119"/>
      <c r="P119"/>
      <c r="Q119"/>
      <c r="R119"/>
      <c r="AA119" s="293"/>
      <c r="AB119" s="81"/>
      <c r="AC119" s="80"/>
    </row>
    <row r="120" spans="1:29" s="5" customFormat="1" ht="15.6">
      <c r="A120" s="411" t="s">
        <v>437</v>
      </c>
      <c r="E120"/>
      <c r="F120"/>
      <c r="G120"/>
      <c r="H120"/>
      <c r="I120"/>
      <c r="J120"/>
      <c r="K120"/>
      <c r="L120"/>
      <c r="M120"/>
      <c r="N120"/>
      <c r="O120"/>
      <c r="P120"/>
      <c r="Q120"/>
      <c r="R120"/>
      <c r="AA120" s="293"/>
      <c r="AB120" s="81"/>
      <c r="AC120" s="80"/>
    </row>
    <row r="121" spans="1:29" s="5" customFormat="1">
      <c r="A121" s="6" t="s">
        <v>863</v>
      </c>
      <c r="B121" s="551">
        <f>IF(OR(B12="S",B12="C"),0,IF(OR(B12="1",B12="3"),ROUND(20*8*B19/365,5),ROUND(20*'New Hire'!C24*B19/365,5)))+'UAT11-Nov'!B124</f>
        <v>151.99996999999999</v>
      </c>
      <c r="C121" s="551">
        <f>IF(OR(C12="S",C12="C"),0,IF(OR(C12="1",C12="3"),ROUND(20*8*C19/365,5),ROUND(20*'New Hire'!E24*C19/365,5)))+'UAT11-Nov'!D124</f>
        <v>40.328760000000003</v>
      </c>
      <c r="D121" s="643">
        <f>IF(OR(D12="S",D12="C"),0,IF(OR(D12="1",D12="3"),ROUND(20*8*D20/365,5),ROUND(20*'New Hire'!F24*D20/365,5)))+'UAT10-Oct'!E157</f>
        <v>141.58901999999998</v>
      </c>
      <c r="E121" s="551">
        <f>IF(OR(E12="S",E12="C"),0,IF(OR(E12="1",E12="3"),ROUND(20*8*E19/365,5),ROUND(20*'New Hire'!G24*E19/365,5)))+'UAT11-Nov'!F124</f>
        <v>127.99998999999998</v>
      </c>
      <c r="F121" s="551">
        <f>IF(OR(F12="S",F12="C"),0,IF(OR(F12="1",F12="3"),ROUND(20*8*F19/365,5),ROUND(20*'New Hire'!H24*F19/365,5)))+'UAT11-Nov'!G124</f>
        <v>0</v>
      </c>
      <c r="G121" s="551">
        <f>IF(OR(G12="S",G12="C"),0,IF(OR(G12="1",G12="3"),ROUND(20*8*G19/365,5),ROUND(20*'New Hire'!J24*G19/365,5)))+'UAT11-Nov'!I124</f>
        <v>0</v>
      </c>
      <c r="H121" s="551">
        <f>IF(OR(H12="S",H12="C"),0,IF(OR(H12="1",H12="3"),ROUND(20*8*H19/365,5),ROUND(20*'New Hire'!K24*H19/365,5)))+'UAT11-Nov'!J124</f>
        <v>44.317810000000001</v>
      </c>
      <c r="I121" s="551">
        <f>IF(OR(I12="S",I12="C"),0,IF(OR(I12="1",I12="3"),ROUND(20*8*I19/365,5),ROUND(20*'New Hire'!L24*I19/365,5)))+'UAT11-Nov'!K124</f>
        <v>159.99996999999999</v>
      </c>
      <c r="J121" s="551">
        <f>IF(OR(J12="S",J12="C"),0,IF(OR(J12="1",J12="3"),ROUND(20*8*J19/365,5),ROUND(20*'New Hire'!M24*J19/365,5)))+'UAT11-Nov'!L124</f>
        <v>159.99996999999999</v>
      </c>
      <c r="K121" s="551">
        <f>IF(OR(K12="S",K12="C"),0,IF(OR(K12="1",K12="3"),ROUND(20*8*K19/365,5),ROUND(20*'New Hire'!N24*K19/365,5)))+'UAT11-Nov'!M124</f>
        <v>159.99996999999999</v>
      </c>
      <c r="L121" s="551">
        <v>0</v>
      </c>
      <c r="M121"/>
      <c r="N121"/>
      <c r="O121"/>
      <c r="P121"/>
      <c r="Q121"/>
      <c r="R121"/>
      <c r="AA121" s="293"/>
      <c r="AB121" s="81"/>
      <c r="AC121" s="80"/>
    </row>
    <row r="122" spans="1:29" s="5" customFormat="1">
      <c r="A122" s="6" t="s">
        <v>864</v>
      </c>
      <c r="B122" s="552">
        <f>IF(OR(B12="S",B12="C"),0,IF(OR(B12="1",B12="3"),ROUND(10*8*B19/365,5),ROUND(10*'New Hire'!C24*B19/365,5)))+'UAT11-Nov'!B125</f>
        <v>79.999989999999997</v>
      </c>
      <c r="C122" s="552">
        <f>IF(OR(C12="S",C12="C"),0,IF(OR(C12="1",C12="3"),ROUND(10*8*C19/365,5),ROUND(10*'New Hire'!E24*C19/365,5)))+'UAT11-Nov'!D125</f>
        <v>20.164380000000001</v>
      </c>
      <c r="D122" s="644">
        <f>IF(OR(D12="S",D12="C"),0,IF(OR(D12="1",D12="3"),ROUND(10*8*D20/365,5),ROUND(10*'New Hire'!F24*D20/365,5)))+'UAT10-Oct'!E158</f>
        <v>70.794509999999988</v>
      </c>
      <c r="E122" s="552">
        <f>IF(OR(E12="S",E12="C"),0,IF(OR(E12="1",E12="3"),ROUND(10*8*E19/365,5),ROUND(10*'New Hire'!G24*E19/365,5)))+'UAT11-Nov'!F125</f>
        <v>64.000010000000003</v>
      </c>
      <c r="F122" s="552">
        <f>IF(OR(F12="S",F12="C"),0,IF(OR(F12="1",F12="3"),ROUND(10*8*F19/365,5),ROUND(10*'New Hire'!H24*F19/365,5)))+'UAT11-Nov'!G125</f>
        <v>0</v>
      </c>
      <c r="G122" s="552">
        <f>IF(OR(G12="S",G12="C"),0,IF(OR(G12="1",G12="3"),ROUND(10*8*G19/365,5),ROUND(10*'New Hire'!J24*G19/365,5)))+'UAT11-Nov'!I125</f>
        <v>0</v>
      </c>
      <c r="H122" s="552">
        <f>IF(OR(H12="S",H12="C"),0,IF(OR(H12="1",H12="3"),ROUND(10*8*H19/365,5),ROUND(10*'New Hire'!K24*H19/365,5)))+'UAT11-Nov'!J125</f>
        <v>22.158920000000002</v>
      </c>
      <c r="I122" s="552">
        <f>IF(OR(I12="S",I12="C"),0,IF(OR(I12="1",I12="3"),ROUND(10*8*I19/365,5),ROUND(10*'New Hire'!L24*I19/365,5)))+'UAT11-Nov'!K125</f>
        <v>79.999989999999997</v>
      </c>
      <c r="J122" s="552">
        <f>IF(OR(J12="S",J12="C"),0,IF(OR(J12="1",J12="3"),ROUND(10*8*J19/365,5),ROUND(10*'New Hire'!M24*J19/365,5)))+'UAT11-Nov'!L125</f>
        <v>79.999989999999997</v>
      </c>
      <c r="K122" s="552">
        <f>IF(OR(K12="S",K12="C"),0,IF(OR(K12="1",K12="3"),ROUND(10*8*K19/365,5),ROUND(10*'New Hire'!N24*K19/365,5)))+'UAT11-Nov'!M125</f>
        <v>79.999989999999997</v>
      </c>
      <c r="L122" s="552">
        <v>0</v>
      </c>
      <c r="M122"/>
      <c r="N122"/>
      <c r="O122"/>
      <c r="P122"/>
      <c r="Q122"/>
      <c r="R122"/>
      <c r="AA122" s="293"/>
      <c r="AB122" s="81"/>
      <c r="AC122" s="80"/>
    </row>
    <row r="123" spans="1:29" s="5" customFormat="1">
      <c r="A123" s="445" t="s">
        <v>829</v>
      </c>
      <c r="B123" s="551">
        <f>IF(B116&lt;&gt;0,0,IF('New Hire'!C78=1,ROUND(25/10*B14%/365,5)*B19,0)+'UAT11-Nov'!B126)</f>
        <v>0</v>
      </c>
      <c r="C123" s="551">
        <f>IF(C116&lt;&gt;0,0,IF('New Hire'!E78=1,ROUND(25/10*C14%/365,5)*C19,0)+'UAT11-Nov'!D126)</f>
        <v>0</v>
      </c>
      <c r="D123" s="551">
        <f>IF(D116&lt;&gt;0,0,IF('New Hire'!F78=1,ROUND(25/10*D14%/365,5)*D19,0)+'UAT11-Nov'!E126)</f>
        <v>0</v>
      </c>
      <c r="E123" s="551">
        <f>IF(E116&lt;&gt;0,0,IF('New Hire'!G78=1,ROUND(25/10*E14%/365,5)*E19,0)+'UAT11-Nov'!F126)</f>
        <v>0</v>
      </c>
      <c r="F123" s="551">
        <f>IF(F116&lt;&gt;0,0,IF('New Hire'!H78=1,ROUND(25/10*F14%/365,5)*F19,0)+'UAT11-Nov'!G126)</f>
        <v>0</v>
      </c>
      <c r="G123" s="551">
        <f>IF(G116&lt;&gt;0,0,IF('New Hire'!J78=1,ROUND(25/10*G14%/365,5)*G19,0)+'UAT11-Nov'!I126)</f>
        <v>0</v>
      </c>
      <c r="H123" s="551">
        <f>IF(H116&lt;&gt;0,0,IF('New Hire'!K78=1,ROUND(25/10*H14%/365,5)*H19,0)+'UAT11-Nov'!J126)</f>
        <v>0</v>
      </c>
      <c r="I123" s="551">
        <f>IF(I116&lt;&gt;0,0,IF('New Hire'!L78=1,ROUND(25/10*I14%/365,5)*I19,0)+'UAT11-Nov'!K126)</f>
        <v>0</v>
      </c>
      <c r="J123" s="551">
        <f>IF(J116&lt;&gt;0,0,IF('New Hire'!M78=1,ROUND(25/10*J14%/365,5)*J19,0)+'UAT11-Nov'!L126)</f>
        <v>0</v>
      </c>
      <c r="K123" s="551">
        <f>IF(K116&lt;&gt;0,0,IF('New Hire'!N78=1,ROUND(25/10*K14%/365,5)*K19,0)+'UAT11-Nov'!M126)</f>
        <v>0</v>
      </c>
      <c r="L123" s="551">
        <f>IF(L116&lt;&gt;0,0,IF('New Hire'!P78=1,ROUND(25/10*L14%/365,5)*L19,0)+'UAT11-Nov'!O126)</f>
        <v>0</v>
      </c>
      <c r="M123"/>
      <c r="N123"/>
      <c r="O123"/>
      <c r="P123"/>
      <c r="Q123"/>
      <c r="R123"/>
      <c r="AA123"/>
      <c r="AB123" s="81"/>
      <c r="AC123" s="80"/>
    </row>
    <row r="124" spans="1:29" s="5" customFormat="1">
      <c r="A124" s="445" t="s">
        <v>830</v>
      </c>
      <c r="B124" s="552">
        <f>IF(B12="C",0,IF(B117&lt;&gt;0,0,IF('New Hire'!C78=1,0,ROUND(5/5*B14%/365,5)*B19)+'UAT11-Nov'!B127))</f>
        <v>0</v>
      </c>
      <c r="C124" s="552">
        <f>IF(C12="C",0,IF(C117&lt;&gt;0,0,IF('New Hire'!D78=1,0,ROUND(5/5*C14%/365,5)*C19)+'UAT11-Nov'!C127))</f>
        <v>0.5329299999999999</v>
      </c>
      <c r="D124" s="552">
        <f>IF(D12="C",0,IF(D117&lt;&gt;0,0,IF('New Hire'!E78=1,0,ROUND(5/5*D14%/365,5)*D19)+'UAT11-Nov'!D127))</f>
        <v>0.16713999999999998</v>
      </c>
      <c r="E124" s="552">
        <f>IF(E12="C",0,IF(E117&lt;&gt;0,0,IF('New Hire'!F78=1,0,ROUND(5/5*E14%/365,5)*E19)+'UAT11-Nov'!E127))</f>
        <v>1.0001</v>
      </c>
      <c r="F124" s="552">
        <f>IF(F12="C",0,IF(F117&lt;&gt;0,0,IF('New Hire'!G78=1,0,ROUND(5/5*F14%/365,5)*F19)+'UAT11-Nov'!F127))</f>
        <v>0</v>
      </c>
      <c r="G124" s="552">
        <f>IF(G12="C",0,IF(G117&lt;&gt;0,0,IF('New Hire'!H78=1,0,ROUND(5/5*G14%/365,5)*G19)+'UAT11-Nov'!G127))</f>
        <v>8.4939999999999988E-2</v>
      </c>
      <c r="H124" s="552">
        <f>IF(H12="C",0,IF(H117&lt;&gt;0,0,IF('New Hire'!I78=1,0,ROUND(5/5*H14%/365,5)*H19)+'UAT11-Nov'!H127))</f>
        <v>0.50004999999999999</v>
      </c>
      <c r="I124" s="552">
        <f>IF(I12="C",0,IF(I117&lt;&gt;0,0,IF('New Hire'!J78=1,0,ROUND(5/5*I14%/365,5)*I19)+'UAT11-Nov'!I127))</f>
        <v>0</v>
      </c>
      <c r="J124" s="552">
        <f>IF(J12="C",0,IF(J117&lt;&gt;0,0,IF('New Hire'!K78=1,0,ROUND(5/5*J14%/365,5)*J19)+'UAT11-Nov'!J127))</f>
        <v>0</v>
      </c>
      <c r="K124" s="552">
        <f>IF(K12="C",0,IF(K117&lt;&gt;0,0,IF('New Hire'!L78=1,0,ROUND(5/5*K14%/365,5)*K19)+'UAT11-Nov'!K127))</f>
        <v>8.4939999999999988E-2</v>
      </c>
      <c r="L124" s="552">
        <f>IF(L12="C",0,IF(L117&lt;&gt;0,0,IF('New Hire'!M78=1,0,ROUND(5/5*L14%/365,5)*L19)+'UAT11-Nov'!L127))</f>
        <v>0</v>
      </c>
      <c r="M124"/>
      <c r="N124"/>
      <c r="O124"/>
      <c r="P124"/>
      <c r="Q124"/>
      <c r="R124"/>
      <c r="AA124"/>
      <c r="AB124" s="81"/>
      <c r="AC124" s="80"/>
    </row>
    <row r="125" spans="1:29" s="5" customFormat="1">
      <c r="A125" s="445"/>
      <c r="B125" s="549"/>
      <c r="C125" s="549"/>
      <c r="D125" s="549"/>
      <c r="E125" s="549"/>
      <c r="F125" s="549"/>
      <c r="G125" s="549"/>
      <c r="H125" s="549"/>
      <c r="I125" s="549"/>
      <c r="J125" s="549"/>
      <c r="K125" s="549"/>
      <c r="L125" s="549"/>
      <c r="M125"/>
      <c r="N125"/>
      <c r="O125"/>
      <c r="P125"/>
      <c r="Q125"/>
      <c r="R125"/>
      <c r="AA125"/>
      <c r="AB125" s="81"/>
      <c r="AC125" s="80"/>
    </row>
    <row r="126" spans="1:29" s="5" customFormat="1" ht="15.6">
      <c r="A126" s="411" t="s">
        <v>629</v>
      </c>
      <c r="E126"/>
      <c r="F126"/>
      <c r="G126"/>
      <c r="H126"/>
      <c r="I126"/>
      <c r="J126"/>
      <c r="K126"/>
      <c r="L126"/>
      <c r="M126"/>
      <c r="N126"/>
      <c r="O126"/>
      <c r="P126"/>
      <c r="Q126"/>
      <c r="R126"/>
      <c r="AA126"/>
      <c r="AB126" s="81"/>
      <c r="AC126" s="80"/>
    </row>
    <row r="127" spans="1:29" s="5" customFormat="1">
      <c r="A127" s="535" t="s">
        <v>479</v>
      </c>
      <c r="B127" s="536">
        <v>7000000</v>
      </c>
      <c r="C127" s="536">
        <v>11000000</v>
      </c>
      <c r="D127" s="536">
        <v>11000000</v>
      </c>
      <c r="E127" s="536">
        <v>16000000</v>
      </c>
      <c r="F127"/>
      <c r="G127" s="536">
        <v>4200</v>
      </c>
      <c r="H127" s="536">
        <v>55000000</v>
      </c>
      <c r="I127" s="536">
        <v>10000000</v>
      </c>
      <c r="J127" s="536">
        <v>11500000</v>
      </c>
      <c r="K127" s="536">
        <v>7000000</v>
      </c>
      <c r="L127"/>
      <c r="M127"/>
      <c r="N127"/>
      <c r="O127"/>
      <c r="P127"/>
      <c r="Q127"/>
      <c r="R127"/>
      <c r="AA127"/>
      <c r="AB127" s="81"/>
      <c r="AC127" s="80"/>
    </row>
    <row r="128" spans="1:29">
      <c r="A128" s="445" t="s">
        <v>776</v>
      </c>
      <c r="B128" s="452"/>
      <c r="C128" s="452"/>
      <c r="D128" s="452"/>
      <c r="E128" s="452"/>
      <c r="F128" s="536">
        <v>250</v>
      </c>
      <c r="G128" s="452"/>
      <c r="H128" s="452"/>
      <c r="I128" s="452"/>
      <c r="J128" s="452"/>
      <c r="K128" s="452"/>
      <c r="L128" s="536">
        <v>900000</v>
      </c>
      <c r="AB128" s="81"/>
      <c r="AC128" s="81"/>
    </row>
    <row r="129" spans="1:29">
      <c r="A129" s="451" t="s">
        <v>496</v>
      </c>
      <c r="B129" s="452">
        <v>700000</v>
      </c>
      <c r="C129" s="452">
        <v>1100000</v>
      </c>
      <c r="D129" s="452">
        <v>0</v>
      </c>
      <c r="E129" s="452">
        <v>0</v>
      </c>
      <c r="F129" s="452">
        <v>0</v>
      </c>
      <c r="G129" s="452">
        <v>0</v>
      </c>
      <c r="H129" s="452">
        <v>5500000</v>
      </c>
      <c r="I129" s="452">
        <v>1000000</v>
      </c>
      <c r="J129" s="452">
        <v>0</v>
      </c>
      <c r="K129" s="452">
        <v>1400000</v>
      </c>
      <c r="L129" s="452">
        <f>'New Hire'!P34</f>
        <v>0</v>
      </c>
      <c r="AB129" s="81"/>
      <c r="AC129" s="81"/>
    </row>
    <row r="130" spans="1:29">
      <c r="A130" s="415" t="s">
        <v>569</v>
      </c>
      <c r="B130" s="452">
        <v>1400000</v>
      </c>
      <c r="C130" s="452">
        <v>2350000</v>
      </c>
      <c r="D130" s="452">
        <v>0</v>
      </c>
      <c r="E130" s="452">
        <v>0</v>
      </c>
      <c r="F130" s="452">
        <v>0</v>
      </c>
      <c r="G130" s="452">
        <v>0</v>
      </c>
      <c r="H130" s="452">
        <v>11000000</v>
      </c>
      <c r="I130" s="452">
        <v>2000000</v>
      </c>
      <c r="J130" s="452">
        <v>0</v>
      </c>
      <c r="K130" s="452">
        <v>2100000</v>
      </c>
      <c r="L130" s="452">
        <f>'New Hire'!P36</f>
        <v>0</v>
      </c>
      <c r="AB130" s="81"/>
      <c r="AC130" s="81"/>
    </row>
    <row r="131" spans="1:29">
      <c r="A131" s="423" t="s">
        <v>495</v>
      </c>
      <c r="B131" s="452"/>
      <c r="C131" s="452"/>
      <c r="D131" s="452"/>
      <c r="E131" s="452"/>
      <c r="F131" s="452"/>
      <c r="G131" s="452"/>
      <c r="H131" s="452"/>
      <c r="I131" s="452"/>
      <c r="J131" s="452"/>
      <c r="K131" s="452"/>
      <c r="L131" s="452"/>
    </row>
    <row r="132" spans="1:29">
      <c r="A132" s="412" t="s">
        <v>530</v>
      </c>
      <c r="B132" s="452"/>
      <c r="C132" s="452"/>
      <c r="D132" s="452"/>
      <c r="E132" s="452"/>
      <c r="F132" s="452"/>
      <c r="G132" s="452"/>
      <c r="H132" s="452"/>
      <c r="I132" s="452"/>
      <c r="J132" s="452"/>
      <c r="K132" s="452"/>
      <c r="L132" s="452"/>
    </row>
    <row r="133" spans="1:29">
      <c r="A133" s="423" t="s">
        <v>598</v>
      </c>
      <c r="B133" s="452"/>
      <c r="C133" s="452"/>
      <c r="D133" s="452"/>
      <c r="E133" s="452"/>
      <c r="F133" s="452"/>
      <c r="G133" s="452"/>
      <c r="H133" s="452"/>
      <c r="I133" s="452"/>
      <c r="J133" s="452"/>
      <c r="K133" s="452"/>
      <c r="L133" s="452"/>
    </row>
    <row r="134" spans="1:29">
      <c r="A134" s="415" t="s">
        <v>493</v>
      </c>
      <c r="B134" s="452"/>
      <c r="C134" s="452"/>
      <c r="D134" s="452"/>
      <c r="E134" s="452"/>
      <c r="F134" s="452"/>
      <c r="G134" s="452"/>
      <c r="H134" s="452"/>
      <c r="I134" s="452"/>
      <c r="J134" s="452"/>
      <c r="K134" s="452"/>
      <c r="L134" s="452"/>
    </row>
    <row r="135" spans="1:29">
      <c r="A135" s="415" t="s">
        <v>499</v>
      </c>
      <c r="B135" s="452"/>
      <c r="C135" s="452"/>
      <c r="D135" s="452"/>
      <c r="E135" s="452"/>
      <c r="F135" s="452"/>
      <c r="G135" s="452"/>
      <c r="H135" s="452"/>
      <c r="I135" s="452"/>
      <c r="J135" s="452"/>
      <c r="K135" s="452"/>
      <c r="L135" s="452"/>
    </row>
    <row r="136" spans="1:29">
      <c r="A136" s="6" t="s">
        <v>630</v>
      </c>
      <c r="B136" s="452"/>
      <c r="C136" s="452"/>
      <c r="D136" s="452"/>
      <c r="E136" s="452"/>
      <c r="F136" s="452"/>
      <c r="G136" s="452"/>
      <c r="H136" s="452"/>
      <c r="I136" s="452"/>
      <c r="J136" s="452"/>
      <c r="K136" s="452"/>
      <c r="L136" s="452"/>
    </row>
    <row r="137" spans="1:29">
      <c r="A137" s="6" t="s">
        <v>632</v>
      </c>
      <c r="B137" s="452"/>
      <c r="C137" s="452"/>
      <c r="D137" s="452"/>
      <c r="E137" s="452"/>
      <c r="F137" s="452"/>
      <c r="G137" s="452"/>
      <c r="H137" s="452"/>
      <c r="I137" s="452"/>
      <c r="J137" s="452"/>
      <c r="K137" s="452"/>
      <c r="L137" s="452"/>
    </row>
    <row r="138" spans="1:29">
      <c r="A138" s="412" t="s">
        <v>613</v>
      </c>
      <c r="B138" s="452"/>
      <c r="C138" s="452"/>
      <c r="D138" s="452"/>
      <c r="E138" s="452"/>
      <c r="F138" s="452"/>
      <c r="G138" s="452">
        <v>100</v>
      </c>
      <c r="H138" s="452"/>
      <c r="I138" s="452"/>
      <c r="J138" s="452"/>
      <c r="K138" s="452"/>
      <c r="L138" s="452"/>
    </row>
    <row r="139" spans="1:29">
      <c r="A139" s="412" t="s">
        <v>614</v>
      </c>
      <c r="B139" s="452"/>
      <c r="C139" s="452"/>
      <c r="D139" s="452"/>
      <c r="E139" s="452"/>
      <c r="F139" s="452"/>
      <c r="G139" s="452">
        <v>200</v>
      </c>
      <c r="H139" s="452"/>
      <c r="I139" s="452"/>
      <c r="J139" s="452"/>
      <c r="K139" s="452"/>
      <c r="L139" s="452"/>
    </row>
    <row r="140" spans="1:29">
      <c r="A140" s="6" t="s">
        <v>633</v>
      </c>
      <c r="B140" s="452">
        <f t="shared" ref="B140:I140" si="41">IF(OR(B22="A",B22="B"),B127,(B127-B138-B139)*B87)</f>
        <v>7000000</v>
      </c>
      <c r="C140" s="452">
        <f t="shared" si="41"/>
        <v>11000000</v>
      </c>
      <c r="D140" s="452">
        <f t="shared" si="41"/>
        <v>11000000</v>
      </c>
      <c r="E140" s="452">
        <f t="shared" si="41"/>
        <v>16000000</v>
      </c>
      <c r="F140" s="452">
        <f t="shared" si="41"/>
        <v>0</v>
      </c>
      <c r="G140" s="452">
        <f t="shared" si="41"/>
        <v>3900</v>
      </c>
      <c r="H140" s="452">
        <f t="shared" si="41"/>
        <v>55000000</v>
      </c>
      <c r="I140" s="452">
        <f t="shared" si="41"/>
        <v>10000000</v>
      </c>
      <c r="J140" s="452">
        <f>J127</f>
        <v>11500000</v>
      </c>
      <c r="K140" s="452">
        <f>IF(OR(K22="A",K22="B"),K127,(K127-K138-K139)*K87)</f>
        <v>7000000</v>
      </c>
      <c r="L140" s="452">
        <f>IF(OR(L22="A",L22="B"),L127,(L127-L138-L139)*L87)</f>
        <v>0</v>
      </c>
    </row>
    <row r="141" spans="1:29">
      <c r="A141" s="6" t="s">
        <v>635</v>
      </c>
      <c r="B141" s="452">
        <f t="shared" ref="B141:I141" si="42">IF(B12="C",0,IF(OR(B22="A",B22="B"),0,ROUND(B140*$B$5,0)+ROUND(B140*$B$5,0)+ROUND(B130*$B$5,0)+ROUND(B132*$B$5,0)))</f>
        <v>0</v>
      </c>
      <c r="C141" s="452">
        <f t="shared" si="42"/>
        <v>0</v>
      </c>
      <c r="D141" s="452">
        <f t="shared" si="42"/>
        <v>0</v>
      </c>
      <c r="E141" s="452">
        <f t="shared" si="42"/>
        <v>0</v>
      </c>
      <c r="F141" s="452">
        <f t="shared" si="42"/>
        <v>0</v>
      </c>
      <c r="G141" s="452">
        <f t="shared" si="42"/>
        <v>183300000</v>
      </c>
      <c r="H141" s="452">
        <f t="shared" si="42"/>
        <v>0</v>
      </c>
      <c r="I141" s="452">
        <f t="shared" si="42"/>
        <v>0</v>
      </c>
      <c r="J141" s="452">
        <v>0</v>
      </c>
      <c r="K141" s="452">
        <f>IF(K12="C",0,IF(OR(K22="A",K22="B"),0,ROUND(K140*$B$5,0)+ROUND(K129*$B$5,0)+ROUND(K130*$B$5,0)+ROUND(K132*$B$5,0)))</f>
        <v>0</v>
      </c>
      <c r="L141" s="452">
        <f>IF(L12="C",0,IF(OR(L22="A",L22="B"),0,ROUND(L140*$B$5,0)+ROUND(L129*$B$5,0)+ROUND(L130*$B$5,0)+ROUND(L132*$B$5,0)))</f>
        <v>0</v>
      </c>
    </row>
    <row r="142" spans="1:29">
      <c r="A142" s="6" t="s">
        <v>665</v>
      </c>
      <c r="B142" s="5">
        <v>0</v>
      </c>
      <c r="C142" s="5">
        <v>0</v>
      </c>
      <c r="D142" s="5">
        <v>0</v>
      </c>
      <c r="E142" s="5">
        <v>0</v>
      </c>
      <c r="F142" s="5">
        <v>0</v>
      </c>
      <c r="G142" s="5">
        <v>0</v>
      </c>
      <c r="H142" s="5">
        <v>0</v>
      </c>
      <c r="I142" s="5">
        <v>0</v>
      </c>
      <c r="J142" s="5">
        <v>0</v>
      </c>
      <c r="K142" s="5">
        <v>0</v>
      </c>
      <c r="L142" s="5">
        <v>0</v>
      </c>
    </row>
    <row r="143" spans="1:29">
      <c r="A143" s="6" t="s">
        <v>866</v>
      </c>
      <c r="B143" s="5">
        <v>0</v>
      </c>
      <c r="C143" s="5">
        <v>0</v>
      </c>
      <c r="D143" s="5">
        <v>36</v>
      </c>
      <c r="E143">
        <v>0</v>
      </c>
      <c r="F143">
        <v>0</v>
      </c>
      <c r="G143">
        <v>0</v>
      </c>
      <c r="H143">
        <v>0</v>
      </c>
      <c r="I143">
        <v>0</v>
      </c>
      <c r="J143">
        <v>0</v>
      </c>
      <c r="K143">
        <v>0</v>
      </c>
      <c r="L143">
        <v>0</v>
      </c>
    </row>
  </sheetData>
  <mergeCells count="4">
    <mergeCell ref="F6:H6"/>
    <mergeCell ref="U6:X6"/>
    <mergeCell ref="M7:M8"/>
    <mergeCell ref="U9:X12"/>
  </mergeCells>
  <phoneticPr fontId="104" type="noConversion"/>
  <pageMargins left="0.75" right="0.75" top="1" bottom="1" header="0.5" footer="0.5"/>
  <pageSetup paperSize="9" orientation="portrait" verticalDpi="90" r:id="rId1"/>
  <headerFooter alignWithMargins="0"/>
  <drawing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54"/>
  <sheetViews>
    <sheetView workbookViewId="0">
      <pane xSplit="1" ySplit="9" topLeftCell="P31" activePane="bottomRight" state="frozen"/>
      <selection pane="topRight" activeCell="B1" sqref="B1"/>
      <selection pane="bottomLeft" activeCell="A10" sqref="A10"/>
      <selection pane="bottomRight" activeCell="X40" sqref="X40:X41"/>
    </sheetView>
  </sheetViews>
  <sheetFormatPr defaultRowHeight="13.8"/>
  <cols>
    <col min="1" max="1" width="31" style="5" bestFit="1" customWidth="1"/>
    <col min="2" max="3" width="10.77734375" style="5" customWidth="1"/>
    <col min="4" max="5" width="10.77734375" customWidth="1"/>
    <col min="6" max="6" width="11.6640625" bestFit="1" customWidth="1"/>
    <col min="7" max="11" width="10.77734375" customWidth="1"/>
    <col min="12" max="12" width="12.6640625" bestFit="1" customWidth="1"/>
    <col min="13" max="14" width="12.77734375" customWidth="1"/>
    <col min="15" max="17" width="10.77734375" customWidth="1"/>
    <col min="18" max="22" width="9.33203125" style="5" customWidth="1"/>
    <col min="23" max="23" width="10.77734375" style="5" bestFit="1" customWidth="1"/>
    <col min="24" max="25" width="9.33203125" style="5" customWidth="1"/>
    <col min="28" max="28" width="10.6640625" bestFit="1" customWidth="1"/>
  </cols>
  <sheetData>
    <row r="1" spans="1:25" s="3" customFormat="1" ht="20.399999999999999">
      <c r="A1" s="110" t="s">
        <v>6</v>
      </c>
      <c r="B1" s="110"/>
      <c r="C1" s="110"/>
      <c r="D1" s="449"/>
      <c r="I1" s="8"/>
      <c r="T1" s="1"/>
      <c r="U1" s="1"/>
      <c r="V1" s="1"/>
      <c r="W1" s="1"/>
      <c r="X1" s="1"/>
      <c r="Y1" s="1"/>
    </row>
    <row r="2" spans="1:25" s="3" customFormat="1" ht="12.75" customHeight="1">
      <c r="B2" s="116"/>
      <c r="C2" s="116"/>
      <c r="R2" s="22"/>
      <c r="S2" s="22"/>
      <c r="T2" s="22"/>
      <c r="U2" s="22"/>
      <c r="V2" s="22"/>
      <c r="W2" s="2"/>
      <c r="Y2" s="2"/>
    </row>
    <row r="3" spans="1:25" s="3" customFormat="1" ht="30">
      <c r="A3" s="112" t="s">
        <v>943</v>
      </c>
      <c r="B3" s="116"/>
      <c r="C3" s="116"/>
      <c r="R3" s="22"/>
      <c r="S3" s="22"/>
      <c r="T3" s="22"/>
      <c r="U3" s="22"/>
      <c r="V3" s="22"/>
      <c r="W3" s="2"/>
      <c r="Y3" s="2"/>
    </row>
    <row r="4" spans="1:25" s="116" customFormat="1">
      <c r="A4" s="116" t="s">
        <v>541</v>
      </c>
      <c r="B4" s="367">
        <v>25200</v>
      </c>
    </row>
    <row r="5" spans="1:25" s="116" customFormat="1">
      <c r="A5" s="116" t="s">
        <v>1273</v>
      </c>
      <c r="B5" s="367">
        <v>23500</v>
      </c>
    </row>
    <row r="6" spans="1:25" s="3" customFormat="1" ht="18" customHeight="1">
      <c r="A6" s="327">
        <v>43861</v>
      </c>
      <c r="B6" s="116"/>
      <c r="C6" s="116"/>
      <c r="E6" s="721" t="s">
        <v>52</v>
      </c>
      <c r="F6" s="721"/>
      <c r="G6" s="721"/>
      <c r="R6" s="22"/>
      <c r="S6" s="22"/>
      <c r="T6" s="720" t="s">
        <v>65</v>
      </c>
      <c r="U6" s="720"/>
      <c r="V6" s="720"/>
      <c r="W6" s="720"/>
      <c r="X6" s="2"/>
      <c r="Y6" s="2"/>
    </row>
    <row r="7" spans="1:25" s="4" customFormat="1">
      <c r="A7" s="409"/>
      <c r="B7" s="646" t="s">
        <v>34</v>
      </c>
      <c r="C7" s="324" t="s">
        <v>36</v>
      </c>
      <c r="D7" s="324" t="s">
        <v>38</v>
      </c>
      <c r="E7" s="324" t="s">
        <v>39</v>
      </c>
      <c r="F7" s="324" t="s">
        <v>41</v>
      </c>
      <c r="G7" s="529" t="s">
        <v>42</v>
      </c>
      <c r="H7" s="324" t="s">
        <v>43</v>
      </c>
      <c r="I7" s="324" t="s">
        <v>44</v>
      </c>
      <c r="J7" s="324" t="s">
        <v>45</v>
      </c>
      <c r="K7" s="324" t="s">
        <v>47</v>
      </c>
      <c r="L7" s="731" t="s">
        <v>500</v>
      </c>
      <c r="M7" s="349" t="s">
        <v>516</v>
      </c>
      <c r="N7" s="349" t="s">
        <v>517</v>
      </c>
      <c r="O7" s="349" t="s">
        <v>519</v>
      </c>
      <c r="P7" s="349" t="s">
        <v>521</v>
      </c>
      <c r="Q7" s="349" t="s">
        <v>523</v>
      </c>
      <c r="R7" s="350"/>
      <c r="S7" s="351"/>
      <c r="T7" s="351"/>
      <c r="U7" s="351"/>
      <c r="V7" s="351"/>
      <c r="W7" s="351"/>
      <c r="X7" s="351"/>
      <c r="Y7" s="352"/>
    </row>
    <row r="8" spans="1:25" ht="15.6">
      <c r="A8" s="410"/>
      <c r="B8" s="647">
        <f>'New Hire'!C6</f>
        <v>91999901</v>
      </c>
      <c r="C8" s="339">
        <f>'New Hire'!E6</f>
        <v>91999903</v>
      </c>
      <c r="D8" s="339">
        <f>'New Hire'!G6</f>
        <v>91999905</v>
      </c>
      <c r="E8" s="339">
        <f>'New Hire'!H6</f>
        <v>91999906</v>
      </c>
      <c r="F8" s="339">
        <f>'New Hire'!J6</f>
        <v>91999908</v>
      </c>
      <c r="G8" s="530">
        <f>'New Hire'!K6</f>
        <v>91999909</v>
      </c>
      <c r="H8" s="339">
        <f>'New Hire'!L6</f>
        <v>91999910</v>
      </c>
      <c r="I8" s="339">
        <f>'New Hire'!M6</f>
        <v>91999911</v>
      </c>
      <c r="J8" s="339">
        <f>'New Hire'!N6</f>
        <v>91999912</v>
      </c>
      <c r="K8" s="339">
        <f>'New Hire'!P6</f>
        <v>91999914</v>
      </c>
      <c r="L8" s="732"/>
      <c r="M8" s="349" t="s">
        <v>515</v>
      </c>
      <c r="N8" s="349" t="s">
        <v>518</v>
      </c>
      <c r="O8" s="349" t="s">
        <v>520</v>
      </c>
      <c r="P8" s="349" t="s">
        <v>522</v>
      </c>
      <c r="Q8" s="349" t="s">
        <v>524</v>
      </c>
      <c r="R8" s="47"/>
      <c r="S8" s="48"/>
      <c r="T8" s="20"/>
      <c r="U8" s="20"/>
      <c r="V8" s="20"/>
      <c r="W8" s="20"/>
      <c r="X8" s="20"/>
      <c r="Y8" s="15"/>
    </row>
    <row r="9" spans="1:25" ht="12.75" customHeight="1">
      <c r="A9" s="411" t="s">
        <v>63</v>
      </c>
      <c r="B9" s="23"/>
      <c r="C9" s="19"/>
      <c r="D9" s="19"/>
      <c r="E9" s="19"/>
      <c r="F9" s="19"/>
      <c r="G9" s="19"/>
      <c r="H9" s="20"/>
      <c r="I9" s="20"/>
      <c r="J9" s="20"/>
      <c r="K9" s="15"/>
      <c r="L9" s="15"/>
      <c r="M9" s="20"/>
      <c r="N9" s="20"/>
      <c r="O9" s="20"/>
      <c r="P9" s="20"/>
      <c r="Q9" s="20"/>
      <c r="R9" s="25"/>
      <c r="S9" s="26"/>
      <c r="T9" s="722" t="s">
        <v>608</v>
      </c>
      <c r="U9" s="723"/>
      <c r="V9" s="723"/>
      <c r="W9" s="724"/>
      <c r="X9" s="27"/>
      <c r="Y9" s="18"/>
    </row>
    <row r="10" spans="1:25">
      <c r="A10" s="424" t="s">
        <v>480</v>
      </c>
      <c r="B10" s="385">
        <v>43831</v>
      </c>
      <c r="C10" s="385">
        <v>43831</v>
      </c>
      <c r="D10" s="385">
        <v>43831</v>
      </c>
      <c r="E10" s="385">
        <v>43831</v>
      </c>
      <c r="F10" s="385">
        <v>43831</v>
      </c>
      <c r="G10" s="385">
        <v>43831</v>
      </c>
      <c r="H10" s="385">
        <v>43831</v>
      </c>
      <c r="I10" s="385">
        <v>43831</v>
      </c>
      <c r="J10" s="385">
        <v>43831</v>
      </c>
      <c r="K10" s="386">
        <v>43831</v>
      </c>
      <c r="L10" s="15"/>
      <c r="M10" s="20"/>
      <c r="N10" s="20"/>
      <c r="O10" s="20"/>
      <c r="P10" s="20"/>
      <c r="Q10" s="20"/>
      <c r="R10" s="28"/>
      <c r="S10" s="29"/>
      <c r="T10" s="725"/>
      <c r="U10" s="726"/>
      <c r="V10" s="726"/>
      <c r="W10" s="727"/>
      <c r="X10" s="30"/>
      <c r="Y10" s="15"/>
    </row>
    <row r="11" spans="1:25">
      <c r="A11" s="424" t="s">
        <v>1251</v>
      </c>
      <c r="B11" s="385"/>
      <c r="C11" s="385"/>
      <c r="D11" s="385"/>
      <c r="E11" s="385"/>
      <c r="F11" s="385"/>
      <c r="G11" s="385">
        <v>43845</v>
      </c>
      <c r="H11" s="385"/>
      <c r="I11" s="385"/>
      <c r="J11" s="385"/>
      <c r="K11" s="386"/>
      <c r="L11" s="15"/>
      <c r="M11" s="20"/>
      <c r="N11" s="20"/>
      <c r="O11" s="20"/>
      <c r="P11" s="20"/>
      <c r="Q11" s="20"/>
      <c r="R11" s="28"/>
      <c r="S11" s="29"/>
      <c r="T11" s="725"/>
      <c r="U11" s="726"/>
      <c r="V11" s="726"/>
      <c r="W11" s="727"/>
      <c r="X11" s="30"/>
      <c r="Y11" s="15"/>
    </row>
    <row r="12" spans="1:25" ht="12.75" customHeight="1">
      <c r="A12" s="99" t="s">
        <v>491</v>
      </c>
      <c r="B12" s="387" t="str">
        <f>'New Hire'!C10</f>
        <v>1</v>
      </c>
      <c r="C12" s="388" t="str">
        <f>'New Hire'!E10</f>
        <v>3</v>
      </c>
      <c r="D12" s="388">
        <f>'New Hire'!G10</f>
        <v>4</v>
      </c>
      <c r="E12" s="388" t="str">
        <f>'New Hire'!H10</f>
        <v>C</v>
      </c>
      <c r="F12" s="388" t="str">
        <f>'New Hire'!J10</f>
        <v>S</v>
      </c>
      <c r="G12" s="388" t="str">
        <f>'New Hire'!K10</f>
        <v>P</v>
      </c>
      <c r="H12" s="388" t="str">
        <f>'New Hire'!L10</f>
        <v>1</v>
      </c>
      <c r="I12" s="388" t="str">
        <f>'New Hire'!M10</f>
        <v>1</v>
      </c>
      <c r="J12" s="388">
        <f>'New Hire'!N10</f>
        <v>3</v>
      </c>
      <c r="K12" s="389" t="str">
        <f>'New Hire'!P10</f>
        <v>C</v>
      </c>
      <c r="L12" s="15"/>
      <c r="M12" s="20"/>
      <c r="N12" s="20"/>
      <c r="O12" s="20"/>
      <c r="P12" s="20"/>
      <c r="Q12" s="20"/>
      <c r="R12" s="32"/>
      <c r="S12" s="20"/>
      <c r="T12" s="725"/>
      <c r="U12" s="726"/>
      <c r="V12" s="726"/>
      <c r="W12" s="727"/>
      <c r="X12" s="20"/>
      <c r="Y12" s="15"/>
    </row>
    <row r="13" spans="1:25" ht="12.75" customHeight="1">
      <c r="A13" s="99" t="s">
        <v>492</v>
      </c>
      <c r="B13" s="390" t="str">
        <f>'New Hire'!C11</f>
        <v>;P</v>
      </c>
      <c r="C13" s="391" t="str">
        <f>'New Hire'!E11</f>
        <v>;E</v>
      </c>
      <c r="D13" s="391" t="str">
        <f>'New Hire'!G11</f>
        <v>;P</v>
      </c>
      <c r="E13" s="391" t="str">
        <f>'New Hire'!H11</f>
        <v>;A</v>
      </c>
      <c r="F13" s="391" t="str">
        <f>'New Hire'!J11</f>
        <v>;V</v>
      </c>
      <c r="G13" s="391" t="str">
        <f>'New Hire'!K11</f>
        <v>;P</v>
      </c>
      <c r="H13" s="391" t="str">
        <f>'New Hire'!L11</f>
        <v>;A</v>
      </c>
      <c r="I13" s="391" t="str">
        <f>'New Hire'!M11</f>
        <v>;I</v>
      </c>
      <c r="J13" s="391" t="str">
        <f>'New Hire'!N11</f>
        <v>;P</v>
      </c>
      <c r="K13" s="392" t="str">
        <f>'New Hire'!P11</f>
        <v>;I</v>
      </c>
      <c r="L13" s="15"/>
      <c r="M13" s="20"/>
      <c r="N13" s="20"/>
      <c r="O13" s="20"/>
      <c r="P13" s="20"/>
      <c r="Q13" s="20"/>
      <c r="R13" s="32"/>
      <c r="S13" s="20"/>
      <c r="T13" s="728"/>
      <c r="U13" s="729"/>
      <c r="V13" s="729"/>
      <c r="W13" s="730"/>
      <c r="X13" s="20"/>
      <c r="Y13" s="15"/>
    </row>
    <row r="14" spans="1:25">
      <c r="A14" s="100" t="s">
        <v>477</v>
      </c>
      <c r="B14" s="394">
        <f>'New Hire'!C26</f>
        <v>100</v>
      </c>
      <c r="C14" s="338">
        <f>'New Hire'!E26</f>
        <v>100</v>
      </c>
      <c r="D14" s="338">
        <f>'New Hire'!G26</f>
        <v>100</v>
      </c>
      <c r="E14" s="338">
        <f>'New Hire'!H26</f>
        <v>100</v>
      </c>
      <c r="F14" s="338">
        <f>'New Hire'!J26</f>
        <v>100</v>
      </c>
      <c r="G14" s="338">
        <f>'New Hire'!K26</f>
        <v>50</v>
      </c>
      <c r="H14" s="338">
        <f>'New Hire'!L26</f>
        <v>100</v>
      </c>
      <c r="I14" s="338">
        <f>'New Hire'!M26</f>
        <v>100</v>
      </c>
      <c r="J14" s="338">
        <f>'New Hire'!N26</f>
        <v>100</v>
      </c>
      <c r="K14" s="395">
        <f>'New Hire'!P26</f>
        <v>100</v>
      </c>
      <c r="L14" s="15"/>
      <c r="M14" s="20"/>
      <c r="N14" s="20"/>
      <c r="O14" s="20"/>
      <c r="P14" s="20"/>
      <c r="Q14" s="20"/>
      <c r="R14" s="23"/>
      <c r="S14" s="19"/>
      <c r="T14" s="19"/>
      <c r="U14" s="19"/>
      <c r="V14" s="19"/>
      <c r="W14" s="19"/>
      <c r="X14" s="19"/>
      <c r="Y14" s="31"/>
    </row>
    <row r="15" spans="1:25">
      <c r="A15" s="424" t="s">
        <v>481</v>
      </c>
      <c r="B15" s="338">
        <f>NETWORKDAYS(B10,$A$6)</f>
        <v>23</v>
      </c>
      <c r="C15" s="338">
        <f t="shared" ref="C15:K15" si="0">NETWORKDAYS(C10,$A$6)</f>
        <v>23</v>
      </c>
      <c r="D15" s="338">
        <f t="shared" si="0"/>
        <v>23</v>
      </c>
      <c r="E15" s="338">
        <f t="shared" si="0"/>
        <v>23</v>
      </c>
      <c r="F15" s="338">
        <f t="shared" si="0"/>
        <v>23</v>
      </c>
      <c r="G15" s="338">
        <f>NETWORKDAYS(G11,$A$6)</f>
        <v>13</v>
      </c>
      <c r="H15" s="338">
        <f t="shared" si="0"/>
        <v>23</v>
      </c>
      <c r="I15" s="338">
        <f t="shared" si="0"/>
        <v>23</v>
      </c>
      <c r="J15" s="338">
        <f t="shared" si="0"/>
        <v>23</v>
      </c>
      <c r="K15" s="395">
        <f t="shared" si="0"/>
        <v>23</v>
      </c>
      <c r="L15" s="15"/>
      <c r="M15" s="20"/>
      <c r="N15" s="20"/>
      <c r="O15" s="20"/>
      <c r="P15" s="20"/>
      <c r="Q15" s="20"/>
      <c r="R15" s="23"/>
      <c r="S15" s="19"/>
      <c r="T15" s="19"/>
      <c r="U15" s="19"/>
      <c r="V15" s="19"/>
      <c r="W15" s="19"/>
      <c r="X15" s="19"/>
      <c r="Y15" s="31"/>
    </row>
    <row r="16" spans="1:25">
      <c r="A16" s="424" t="s">
        <v>843</v>
      </c>
      <c r="B16" s="338">
        <f>B15</f>
        <v>23</v>
      </c>
      <c r="C16" s="338">
        <f t="shared" ref="C16:K16" si="1">C15</f>
        <v>23</v>
      </c>
      <c r="D16" s="338">
        <f t="shared" si="1"/>
        <v>23</v>
      </c>
      <c r="E16" s="338">
        <f t="shared" si="1"/>
        <v>23</v>
      </c>
      <c r="F16" s="338">
        <f t="shared" si="1"/>
        <v>23</v>
      </c>
      <c r="G16" s="338">
        <f t="shared" si="1"/>
        <v>13</v>
      </c>
      <c r="H16" s="338">
        <f t="shared" si="1"/>
        <v>23</v>
      </c>
      <c r="I16" s="338">
        <f t="shared" si="1"/>
        <v>23</v>
      </c>
      <c r="J16" s="338">
        <f t="shared" si="1"/>
        <v>23</v>
      </c>
      <c r="K16" s="395">
        <f t="shared" si="1"/>
        <v>23</v>
      </c>
      <c r="L16" s="15"/>
      <c r="M16" s="20"/>
      <c r="N16" s="20"/>
      <c r="O16" s="20"/>
      <c r="P16" s="20"/>
      <c r="Q16" s="20"/>
      <c r="R16" s="23"/>
      <c r="S16" s="19"/>
      <c r="T16" s="19"/>
      <c r="U16" s="19"/>
      <c r="V16" s="19"/>
      <c r="W16" s="19"/>
      <c r="X16" s="19"/>
      <c r="Y16" s="31"/>
    </row>
    <row r="17" spans="1:25">
      <c r="A17" s="424" t="s">
        <v>639</v>
      </c>
      <c r="B17" s="338">
        <f>NETWORKDAYS(EOMONTH($A$6,-1)+1,EOMONTH($A$6,0))</f>
        <v>23</v>
      </c>
      <c r="C17" s="338">
        <f t="shared" ref="C17:K17" si="2">NETWORKDAYS(EOMONTH($A$6,-1)+1,EOMONTH($A$6,0))</f>
        <v>23</v>
      </c>
      <c r="D17" s="338">
        <f t="shared" si="2"/>
        <v>23</v>
      </c>
      <c r="E17" s="338">
        <f t="shared" si="2"/>
        <v>23</v>
      </c>
      <c r="F17" s="338">
        <f t="shared" si="2"/>
        <v>23</v>
      </c>
      <c r="G17" s="338">
        <f t="shared" si="2"/>
        <v>23</v>
      </c>
      <c r="H17" s="338">
        <f t="shared" si="2"/>
        <v>23</v>
      </c>
      <c r="I17" s="338">
        <f t="shared" si="2"/>
        <v>23</v>
      </c>
      <c r="J17" s="338">
        <f t="shared" si="2"/>
        <v>23</v>
      </c>
      <c r="K17" s="395">
        <f t="shared" si="2"/>
        <v>23</v>
      </c>
      <c r="L17" s="15"/>
      <c r="M17" s="20"/>
      <c r="N17" s="20"/>
      <c r="O17" s="20"/>
      <c r="P17" s="20"/>
      <c r="Q17" s="20"/>
      <c r="R17" s="23"/>
      <c r="S17" s="19"/>
      <c r="T17" s="19"/>
      <c r="U17" s="19"/>
      <c r="V17" s="19"/>
      <c r="W17" s="19"/>
      <c r="X17" s="19"/>
      <c r="Y17" s="31"/>
    </row>
    <row r="18" spans="1:25">
      <c r="A18" s="424" t="s">
        <v>513</v>
      </c>
      <c r="B18" s="335">
        <f>_xlfn.DAYS($A$6,B10)+1</f>
        <v>31</v>
      </c>
      <c r="C18" s="335">
        <f t="shared" ref="C18:K18" si="3">_xlfn.DAYS($A$6,C10)+1</f>
        <v>31</v>
      </c>
      <c r="D18" s="335">
        <f t="shared" si="3"/>
        <v>31</v>
      </c>
      <c r="E18" s="335">
        <f t="shared" si="3"/>
        <v>31</v>
      </c>
      <c r="F18" s="335">
        <f t="shared" si="3"/>
        <v>31</v>
      </c>
      <c r="G18" s="335">
        <f>_xlfn.DAYS($A$6,G11)+1</f>
        <v>17</v>
      </c>
      <c r="H18" s="335">
        <f t="shared" si="3"/>
        <v>31</v>
      </c>
      <c r="I18" s="335">
        <f t="shared" si="3"/>
        <v>31</v>
      </c>
      <c r="J18" s="335">
        <f t="shared" si="3"/>
        <v>31</v>
      </c>
      <c r="K18" s="397">
        <f t="shared" si="3"/>
        <v>31</v>
      </c>
      <c r="L18" s="15"/>
      <c r="M18" s="20"/>
      <c r="N18" s="20"/>
      <c r="O18" s="20"/>
      <c r="P18" s="20"/>
      <c r="Q18" s="20"/>
      <c r="R18" s="23"/>
      <c r="S18" s="19"/>
      <c r="T18" s="19"/>
      <c r="U18" s="19"/>
      <c r="V18" s="19"/>
      <c r="W18" s="19"/>
      <c r="X18" s="19"/>
      <c r="Y18" s="31"/>
    </row>
    <row r="19" spans="1:25">
      <c r="A19" s="99" t="s">
        <v>533</v>
      </c>
      <c r="B19" s="336">
        <f>DATEDIF('New Hire'!C41,$A$6,"Y")</f>
        <v>10</v>
      </c>
      <c r="C19" s="337">
        <f>DATEDIF('New Hire'!E41,$A$6,"Y")</f>
        <v>1</v>
      </c>
      <c r="D19" s="337">
        <f>DATEDIF('New Hire'!G41,$A$6,"Y")</f>
        <v>10</v>
      </c>
      <c r="E19" s="337">
        <f>DATEDIF('New Hire'!H41,$A$6,"Y")</f>
        <v>1</v>
      </c>
      <c r="F19" s="337">
        <f>DATEDIF('New Hire'!J41,$A$6,"Y")</f>
        <v>1</v>
      </c>
      <c r="G19" s="337">
        <f>DATEDIF('New Hire'!K41,$A$6,"Y")</f>
        <v>1</v>
      </c>
      <c r="H19" s="337">
        <f>DATEDIF('New Hire'!L41,$A$6,"Y")</f>
        <v>10</v>
      </c>
      <c r="I19" s="337">
        <f>DATEDIF('New Hire'!M41,$A$6,"Y")</f>
        <v>5</v>
      </c>
      <c r="J19" s="337">
        <f>DATEDIF('New Hire'!N41,$A$6,"Y")</f>
        <v>1</v>
      </c>
      <c r="K19" s="393">
        <f>DATEDIF('New Hire'!P41,$A$6,"Y")</f>
        <v>1</v>
      </c>
      <c r="L19" s="15"/>
      <c r="M19" s="20"/>
      <c r="N19" s="20"/>
      <c r="O19" s="20"/>
      <c r="P19" s="20"/>
      <c r="Q19" s="20"/>
      <c r="R19" s="23"/>
      <c r="S19" s="19"/>
      <c r="T19" s="19"/>
      <c r="U19" s="19"/>
      <c r="V19" s="19"/>
      <c r="W19" s="19"/>
      <c r="X19" s="19"/>
      <c r="Y19" s="31"/>
    </row>
    <row r="20" spans="1:25">
      <c r="A20" s="99" t="s">
        <v>566</v>
      </c>
      <c r="B20" s="336" t="str">
        <f>'New Hire'!C54</f>
        <v>A</v>
      </c>
      <c r="C20" s="337" t="str">
        <f>'New Hire'!E54</f>
        <v>A</v>
      </c>
      <c r="D20" s="337" t="str">
        <f>'New Hire'!G54</f>
        <v>B</v>
      </c>
      <c r="E20" s="337" t="str">
        <f>'New Hire'!H54</f>
        <v>C</v>
      </c>
      <c r="F20" s="337" t="str">
        <f>'New Hire'!J54</f>
        <v>D</v>
      </c>
      <c r="G20" s="337" t="str">
        <f>'New Hire'!K54</f>
        <v>A</v>
      </c>
      <c r="H20" s="337" t="str">
        <f>'New Hire'!L54</f>
        <v>A</v>
      </c>
      <c r="I20" s="337" t="s">
        <v>1230</v>
      </c>
      <c r="J20" s="337" t="str">
        <f>'New Hire'!N54</f>
        <v>A</v>
      </c>
      <c r="K20" s="393" t="str">
        <f>'New Hire'!P54</f>
        <v>B</v>
      </c>
      <c r="L20" s="15"/>
      <c r="M20" s="20"/>
      <c r="N20" s="20"/>
      <c r="O20" s="20"/>
      <c r="P20" s="20"/>
      <c r="Q20" s="20"/>
      <c r="R20" s="23"/>
      <c r="S20" s="19"/>
      <c r="T20" s="19"/>
      <c r="U20" s="19"/>
      <c r="V20" s="19"/>
      <c r="W20" s="19"/>
      <c r="X20" s="19"/>
      <c r="Y20" s="31"/>
    </row>
    <row r="21" spans="1:25">
      <c r="A21" s="98" t="s">
        <v>107</v>
      </c>
      <c r="B21" s="91">
        <v>1</v>
      </c>
      <c r="C21" s="89">
        <v>1</v>
      </c>
      <c r="D21" s="89">
        <v>0</v>
      </c>
      <c r="E21" s="89">
        <v>0</v>
      </c>
      <c r="F21" s="89">
        <v>0</v>
      </c>
      <c r="G21" s="89">
        <v>0</v>
      </c>
      <c r="H21" s="89">
        <v>0</v>
      </c>
      <c r="I21" s="89">
        <v>0</v>
      </c>
      <c r="J21" s="89">
        <v>0</v>
      </c>
      <c r="K21" s="398">
        <v>0</v>
      </c>
      <c r="L21" s="15"/>
      <c r="M21" s="20"/>
      <c r="N21" s="20"/>
      <c r="O21" s="20"/>
      <c r="P21" s="20"/>
      <c r="Q21" s="20"/>
      <c r="R21" s="23"/>
      <c r="S21" s="19"/>
      <c r="T21" s="19"/>
      <c r="U21" s="19"/>
      <c r="V21" s="19"/>
      <c r="W21" s="19"/>
      <c r="X21" s="19"/>
      <c r="Y21" s="31"/>
    </row>
    <row r="22" spans="1:25">
      <c r="A22" s="97" t="s">
        <v>113</v>
      </c>
      <c r="B22" s="325">
        <f>3600000*B21</f>
        <v>3600000</v>
      </c>
      <c r="C22" s="90">
        <f t="shared" ref="C22:K22" si="4">3600000*C21</f>
        <v>3600000</v>
      </c>
      <c r="D22" s="90">
        <f t="shared" si="4"/>
        <v>0</v>
      </c>
      <c r="E22" s="90">
        <f t="shared" si="4"/>
        <v>0</v>
      </c>
      <c r="F22" s="90">
        <f t="shared" si="4"/>
        <v>0</v>
      </c>
      <c r="G22" s="90">
        <f t="shared" si="4"/>
        <v>0</v>
      </c>
      <c r="H22" s="90">
        <f t="shared" si="4"/>
        <v>0</v>
      </c>
      <c r="I22" s="90">
        <f t="shared" si="4"/>
        <v>0</v>
      </c>
      <c r="J22" s="90">
        <f t="shared" si="4"/>
        <v>0</v>
      </c>
      <c r="K22" s="399">
        <f t="shared" si="4"/>
        <v>0</v>
      </c>
      <c r="L22" s="15"/>
      <c r="M22" s="20"/>
      <c r="N22" s="20"/>
      <c r="O22" s="20"/>
      <c r="P22" s="20"/>
      <c r="Q22" s="20"/>
      <c r="R22" s="23"/>
      <c r="S22" s="19"/>
      <c r="T22" s="19"/>
      <c r="U22" s="19"/>
      <c r="V22" s="19"/>
      <c r="W22" s="19"/>
      <c r="X22" s="19"/>
      <c r="Y22" s="31"/>
    </row>
    <row r="23" spans="1:25" ht="15.6">
      <c r="A23" s="97" t="s">
        <v>114</v>
      </c>
      <c r="B23" s="326">
        <v>9000000</v>
      </c>
      <c r="C23" s="90">
        <v>9000000</v>
      </c>
      <c r="D23" s="90">
        <v>9000000</v>
      </c>
      <c r="E23" s="90">
        <v>9000000</v>
      </c>
      <c r="F23" s="90">
        <v>9000000</v>
      </c>
      <c r="G23" s="90">
        <v>9000000</v>
      </c>
      <c r="H23" s="90">
        <v>9000000</v>
      </c>
      <c r="I23" s="90">
        <v>9000000</v>
      </c>
      <c r="J23" s="90">
        <v>9000000</v>
      </c>
      <c r="K23" s="399">
        <v>9000000</v>
      </c>
      <c r="L23" s="15"/>
      <c r="M23" s="66"/>
      <c r="N23" s="66"/>
      <c r="O23" s="66"/>
      <c r="P23" s="66"/>
      <c r="Q23" s="66"/>
      <c r="R23" s="40"/>
      <c r="S23" s="41"/>
      <c r="T23" s="19"/>
      <c r="U23" s="19"/>
      <c r="V23" s="19"/>
      <c r="W23" s="19"/>
      <c r="X23" s="16"/>
      <c r="Y23" s="17"/>
    </row>
    <row r="24" spans="1:25" ht="15.6">
      <c r="A24" s="413" t="s">
        <v>53</v>
      </c>
      <c r="B24" s="64"/>
      <c r="C24" s="65"/>
      <c r="D24" s="65"/>
      <c r="E24" s="65"/>
      <c r="F24" s="65"/>
      <c r="G24" s="65"/>
      <c r="H24" s="66"/>
      <c r="I24" s="66"/>
      <c r="J24" s="66"/>
      <c r="K24" s="382"/>
      <c r="L24" s="382"/>
      <c r="M24" s="66"/>
      <c r="N24" s="66"/>
      <c r="O24" s="66"/>
      <c r="P24" s="66"/>
      <c r="Q24" s="66"/>
      <c r="R24" s="50"/>
      <c r="S24" s="44"/>
      <c r="T24" s="44"/>
      <c r="U24" s="44"/>
      <c r="V24" s="44"/>
      <c r="W24" s="44"/>
      <c r="X24" s="44"/>
      <c r="Y24" s="51"/>
    </row>
    <row r="25" spans="1:25">
      <c r="A25" s="414" t="s">
        <v>55</v>
      </c>
      <c r="B25" s="64"/>
      <c r="C25" s="65"/>
      <c r="D25" s="65"/>
      <c r="E25" s="65"/>
      <c r="F25" s="65"/>
      <c r="G25" s="65"/>
      <c r="H25" s="66"/>
      <c r="I25" s="66"/>
      <c r="J25" s="66"/>
      <c r="K25" s="382"/>
      <c r="L25" s="382"/>
      <c r="M25" s="66"/>
      <c r="N25" s="66"/>
      <c r="O25" s="66"/>
      <c r="P25" s="66"/>
      <c r="Q25" s="66"/>
      <c r="R25" s="118" t="s">
        <v>57</v>
      </c>
      <c r="S25" s="119" t="s">
        <v>67</v>
      </c>
      <c r="T25" s="119" t="s">
        <v>69</v>
      </c>
      <c r="U25" s="119" t="s">
        <v>70</v>
      </c>
      <c r="V25" s="119" t="s">
        <v>56</v>
      </c>
      <c r="W25" s="119" t="s">
        <v>54</v>
      </c>
      <c r="X25" s="119" t="s">
        <v>58</v>
      </c>
      <c r="Y25" s="120" t="s">
        <v>59</v>
      </c>
    </row>
    <row r="26" spans="1:25">
      <c r="A26" s="445" t="s">
        <v>479</v>
      </c>
      <c r="B26" s="332">
        <f t="shared" ref="B26:H26" si="5">IF(OR(B20="A",B20="B"),IF(B12&lt;&gt;"C",ROUND(B126*B81,0),0),IF(B12&lt;&gt;"C",ROUND(B139*$B$4,0),0))</f>
        <v>8000000</v>
      </c>
      <c r="C26" s="332">
        <f t="shared" si="5"/>
        <v>11000000</v>
      </c>
      <c r="D26" s="332">
        <f t="shared" si="5"/>
        <v>16000000</v>
      </c>
      <c r="E26" s="332">
        <f t="shared" si="5"/>
        <v>0</v>
      </c>
      <c r="F26" s="332">
        <f t="shared" si="5"/>
        <v>98280000</v>
      </c>
      <c r="G26" s="332">
        <f t="shared" si="5"/>
        <v>31086957</v>
      </c>
      <c r="H26" s="332">
        <f t="shared" si="5"/>
        <v>10000000</v>
      </c>
      <c r="I26" s="332">
        <f>ROUND(I126*I81,0)</f>
        <v>11500000</v>
      </c>
      <c r="J26" s="332">
        <f>IF(OR(J20="A",J20="B"),IF(J12&lt;&gt;"C",ROUND(J126*J81,0),0),IF(J12&lt;&gt;"C",ROUND(J139*$B$4,0),0))</f>
        <v>7000000</v>
      </c>
      <c r="K26" s="400">
        <f>IF(OR(K20="A",K20="B"),IF(K12&lt;&gt;"C",ROUND(K126*K81,0),0),IF(K12&lt;&gt;"C",ROUND(K139*$B$4,0),0))</f>
        <v>0</v>
      </c>
      <c r="L26" s="355">
        <f t="shared" ref="L26:L33" si="6">SUM(B26:K26)</f>
        <v>192866957</v>
      </c>
      <c r="M26" s="90" t="s">
        <v>525</v>
      </c>
      <c r="N26" s="90" t="s">
        <v>525</v>
      </c>
      <c r="O26" s="90" t="s">
        <v>525</v>
      </c>
      <c r="P26" s="90" t="s">
        <v>525</v>
      </c>
      <c r="Q26" s="90" t="s">
        <v>525</v>
      </c>
      <c r="R26" s="356" t="s">
        <v>2</v>
      </c>
      <c r="S26" s="357">
        <v>91999901</v>
      </c>
      <c r="T26" s="358" t="s">
        <v>507</v>
      </c>
      <c r="U26" s="358" t="s">
        <v>508</v>
      </c>
      <c r="V26" s="359" t="s">
        <v>509</v>
      </c>
      <c r="W26" s="360">
        <v>8000000</v>
      </c>
      <c r="X26" s="358"/>
      <c r="Y26" s="361"/>
    </row>
    <row r="27" spans="1:25">
      <c r="A27" s="463" t="s">
        <v>636</v>
      </c>
      <c r="B27" s="438">
        <f>B126-'UAT12-Dec'!B28</f>
        <v>1000000</v>
      </c>
      <c r="C27" s="438"/>
      <c r="D27" s="438"/>
      <c r="E27" s="438"/>
      <c r="F27" s="438"/>
      <c r="G27" s="438"/>
      <c r="H27" s="438"/>
      <c r="I27" s="438"/>
      <c r="J27" s="438">
        <f>ROUND(J126*12/22,0)-'UAT12-Dec'!K28</f>
        <v>-3181818</v>
      </c>
      <c r="K27" s="511"/>
      <c r="L27" s="464">
        <f t="shared" si="6"/>
        <v>-2181818</v>
      </c>
      <c r="M27" s="435" t="s">
        <v>525</v>
      </c>
      <c r="N27" s="435" t="s">
        <v>525</v>
      </c>
      <c r="O27" s="435" t="s">
        <v>525</v>
      </c>
      <c r="P27" s="435" t="s">
        <v>525</v>
      </c>
      <c r="Q27" s="435" t="s">
        <v>525</v>
      </c>
      <c r="R27" s="356" t="s">
        <v>2</v>
      </c>
      <c r="S27" s="357">
        <v>91999902</v>
      </c>
      <c r="T27" s="358" t="s">
        <v>507</v>
      </c>
      <c r="U27" s="358" t="s">
        <v>508</v>
      </c>
      <c r="V27" s="359" t="s">
        <v>509</v>
      </c>
      <c r="W27" s="360">
        <v>8000000</v>
      </c>
      <c r="X27" s="358"/>
      <c r="Y27" s="361"/>
    </row>
    <row r="28" spans="1:25">
      <c r="A28" s="451" t="s">
        <v>496</v>
      </c>
      <c r="B28" s="332">
        <f t="shared" ref="B28:K28" si="7">IF(OR(B20="A",B20="B"),ROUND(B128*B81,0),ROUND(B128*B81*$B$4,0))</f>
        <v>800000</v>
      </c>
      <c r="C28" s="332">
        <f t="shared" si="7"/>
        <v>1100000</v>
      </c>
      <c r="D28" s="332">
        <f t="shared" si="7"/>
        <v>0</v>
      </c>
      <c r="E28" s="332">
        <f t="shared" si="7"/>
        <v>0</v>
      </c>
      <c r="F28" s="332">
        <f t="shared" si="7"/>
        <v>0</v>
      </c>
      <c r="G28" s="332">
        <f t="shared" si="7"/>
        <v>3108696</v>
      </c>
      <c r="H28" s="332">
        <f t="shared" si="7"/>
        <v>1000000</v>
      </c>
      <c r="I28" s="332">
        <f t="shared" si="7"/>
        <v>0</v>
      </c>
      <c r="J28" s="332">
        <f t="shared" si="7"/>
        <v>1400000</v>
      </c>
      <c r="K28" s="400">
        <f t="shared" si="7"/>
        <v>0</v>
      </c>
      <c r="L28" s="355">
        <f t="shared" si="6"/>
        <v>7408696</v>
      </c>
      <c r="M28" s="379" t="s">
        <v>525</v>
      </c>
      <c r="N28" s="379" t="s">
        <v>525</v>
      </c>
      <c r="O28" s="379" t="s">
        <v>525</v>
      </c>
      <c r="P28" s="379" t="s">
        <v>525</v>
      </c>
      <c r="Q28" s="90" t="s">
        <v>525</v>
      </c>
      <c r="R28" s="356" t="s">
        <v>2</v>
      </c>
      <c r="S28" s="357">
        <v>91999904</v>
      </c>
      <c r="T28" s="358" t="s">
        <v>511</v>
      </c>
      <c r="U28" s="358" t="s">
        <v>508</v>
      </c>
      <c r="V28" s="359" t="s">
        <v>509</v>
      </c>
      <c r="W28" s="360">
        <v>8000000</v>
      </c>
      <c r="X28" s="358"/>
      <c r="Y28" s="361"/>
    </row>
    <row r="29" spans="1:25">
      <c r="A29" s="465" t="s">
        <v>1224</v>
      </c>
      <c r="B29" s="438">
        <f>B128-'UAT12-Dec'!B30</f>
        <v>100000</v>
      </c>
      <c r="C29" s="438"/>
      <c r="D29" s="438"/>
      <c r="E29" s="438"/>
      <c r="F29" s="438"/>
      <c r="G29" s="438"/>
      <c r="H29" s="438"/>
      <c r="I29" s="438"/>
      <c r="J29" s="438">
        <f>ROUND(J128*12/22,0)-'UAT12-Dec'!K30</f>
        <v>-636364</v>
      </c>
      <c r="K29" s="511"/>
      <c r="L29" s="464">
        <f t="shared" si="6"/>
        <v>-536364</v>
      </c>
      <c r="M29" s="446" t="s">
        <v>525</v>
      </c>
      <c r="N29" s="446" t="s">
        <v>525</v>
      </c>
      <c r="O29" s="446" t="s">
        <v>525</v>
      </c>
      <c r="P29" s="446" t="s">
        <v>525</v>
      </c>
      <c r="Q29" s="435" t="s">
        <v>525</v>
      </c>
      <c r="R29" s="356" t="s">
        <v>2</v>
      </c>
      <c r="S29" s="357">
        <v>91999905</v>
      </c>
      <c r="T29" s="358" t="s">
        <v>507</v>
      </c>
      <c r="U29" s="358" t="s">
        <v>508</v>
      </c>
      <c r="V29" s="359" t="s">
        <v>509</v>
      </c>
      <c r="W29" s="360">
        <v>8000000</v>
      </c>
      <c r="X29" s="358"/>
      <c r="Y29" s="361"/>
    </row>
    <row r="30" spans="1:25">
      <c r="A30" s="451" t="s">
        <v>569</v>
      </c>
      <c r="B30" s="332">
        <f t="shared" ref="B30:K30" si="8">IF(OR(B20="A",B20="B"),ROUND(B129*B81,0),ROUND(B129*B81*$B$4,0))</f>
        <v>1600000</v>
      </c>
      <c r="C30" s="332">
        <f t="shared" si="8"/>
        <v>2350000</v>
      </c>
      <c r="D30" s="332">
        <f t="shared" si="8"/>
        <v>0</v>
      </c>
      <c r="E30" s="332">
        <f t="shared" si="8"/>
        <v>0</v>
      </c>
      <c r="F30" s="332">
        <f t="shared" si="8"/>
        <v>0</v>
      </c>
      <c r="G30" s="332">
        <f t="shared" si="8"/>
        <v>6217391</v>
      </c>
      <c r="H30" s="332">
        <f t="shared" si="8"/>
        <v>2000000</v>
      </c>
      <c r="I30" s="332">
        <f t="shared" si="8"/>
        <v>0</v>
      </c>
      <c r="J30" s="332">
        <f t="shared" si="8"/>
        <v>2100000</v>
      </c>
      <c r="K30" s="400">
        <f t="shared" si="8"/>
        <v>0</v>
      </c>
      <c r="L30" s="355">
        <f t="shared" si="6"/>
        <v>14267391</v>
      </c>
      <c r="M30" s="379" t="s">
        <v>525</v>
      </c>
      <c r="N30" s="379" t="s">
        <v>525</v>
      </c>
      <c r="O30" s="379" t="s">
        <v>525</v>
      </c>
      <c r="P30" s="379" t="s">
        <v>525</v>
      </c>
      <c r="Q30" s="90" t="s">
        <v>525</v>
      </c>
      <c r="R30" s="356" t="s">
        <v>2</v>
      </c>
      <c r="S30" s="357">
        <v>91999906</v>
      </c>
      <c r="T30" s="358" t="s">
        <v>507</v>
      </c>
      <c r="U30" s="358" t="s">
        <v>508</v>
      </c>
      <c r="V30" s="359" t="s">
        <v>509</v>
      </c>
      <c r="W30" s="360">
        <v>8000000</v>
      </c>
      <c r="X30" s="358"/>
      <c r="Y30" s="361"/>
    </row>
    <row r="31" spans="1:25">
      <c r="A31" s="465" t="s">
        <v>758</v>
      </c>
      <c r="B31" s="438">
        <f>B129-'UAT12-Dec'!B31</f>
        <v>200000</v>
      </c>
      <c r="C31" s="438"/>
      <c r="D31" s="438"/>
      <c r="E31" s="438"/>
      <c r="F31" s="438"/>
      <c r="G31" s="438"/>
      <c r="H31" s="438"/>
      <c r="I31" s="438"/>
      <c r="J31" s="438">
        <f>ROUND(J129*12/22,0)-'UAT12-Dec'!K31</f>
        <v>-954545</v>
      </c>
      <c r="K31" s="511"/>
      <c r="L31" s="464">
        <f t="shared" si="6"/>
        <v>-754545</v>
      </c>
      <c r="M31" s="446" t="s">
        <v>525</v>
      </c>
      <c r="N31" s="446" t="s">
        <v>525</v>
      </c>
      <c r="O31" s="446" t="s">
        <v>525</v>
      </c>
      <c r="P31" s="446" t="s">
        <v>525</v>
      </c>
      <c r="Q31" s="435" t="s">
        <v>525</v>
      </c>
      <c r="R31" s="356" t="s">
        <v>2</v>
      </c>
      <c r="S31" s="357">
        <v>91999901</v>
      </c>
      <c r="T31" s="358" t="s">
        <v>507</v>
      </c>
      <c r="U31" s="358" t="s">
        <v>508</v>
      </c>
      <c r="V31" s="359" t="s">
        <v>537</v>
      </c>
      <c r="W31" s="360">
        <v>7000000</v>
      </c>
      <c r="X31" s="358"/>
      <c r="Y31" s="361"/>
    </row>
    <row r="32" spans="1:25">
      <c r="A32" s="445" t="s">
        <v>427</v>
      </c>
      <c r="B32" s="332"/>
      <c r="C32" s="332"/>
      <c r="D32" s="332"/>
      <c r="E32" s="332">
        <f>ROUND(E127*B4,0)*Y50+ROUND(E127*B4,0)*Y51</f>
        <v>31500000</v>
      </c>
      <c r="F32" s="332"/>
      <c r="G32" s="332"/>
      <c r="H32" s="340"/>
      <c r="I32" s="340"/>
      <c r="J32" s="340"/>
      <c r="K32" s="401">
        <f>ROUND(K127*Y52,0)+ROUND(K127*Y53,0)</f>
        <v>4500000</v>
      </c>
      <c r="L32" s="355">
        <f t="shared" si="6"/>
        <v>36000000</v>
      </c>
      <c r="M32" s="379" t="s">
        <v>525</v>
      </c>
      <c r="N32" s="379" t="s">
        <v>525</v>
      </c>
      <c r="O32" s="379"/>
      <c r="P32" s="379"/>
      <c r="Q32" s="379"/>
      <c r="R32" s="356" t="s">
        <v>2</v>
      </c>
      <c r="S32" s="357">
        <v>91999902</v>
      </c>
      <c r="T32" s="358" t="s">
        <v>507</v>
      </c>
      <c r="U32" s="358" t="s">
        <v>508</v>
      </c>
      <c r="V32" s="359" t="s">
        <v>537</v>
      </c>
      <c r="W32" s="360">
        <v>7000000</v>
      </c>
      <c r="X32" s="358"/>
      <c r="Y32" s="361"/>
    </row>
    <row r="33" spans="1:28">
      <c r="A33" s="585" t="s">
        <v>927</v>
      </c>
      <c r="B33" s="592">
        <f>'UAT12-Dec'!B65+B63</f>
        <v>6106660</v>
      </c>
      <c r="C33" s="368">
        <f>'UAT12-Dec'!C65</f>
        <v>0</v>
      </c>
      <c r="D33" s="368">
        <f>'UAT12-Dec'!E65</f>
        <v>0</v>
      </c>
      <c r="E33" s="368">
        <f>'UAT12-Dec'!F65</f>
        <v>0</v>
      </c>
      <c r="F33" s="368">
        <f>'UAT12-Dec'!G65</f>
        <v>0</v>
      </c>
      <c r="G33" s="368">
        <f>'UAT12-Dec'!H65+IF(OR(G12="1",G12="P"),ROUND(G126*G82,0),0)</f>
        <v>47282993</v>
      </c>
      <c r="H33" s="368">
        <f>'UAT12-Dec'!I65</f>
        <v>9113188</v>
      </c>
      <c r="I33" s="368">
        <f>'UAT12-Dec'!J65</f>
        <v>44134452</v>
      </c>
      <c r="J33" s="368">
        <f>'UAT12-Dec'!K65</f>
        <v>0</v>
      </c>
      <c r="K33" s="586">
        <f>'UAT12-Dec'!L65</f>
        <v>1517242</v>
      </c>
      <c r="L33" s="542">
        <f t="shared" si="6"/>
        <v>108154535</v>
      </c>
      <c r="M33" s="543" t="s">
        <v>525</v>
      </c>
      <c r="N33" s="543" t="s">
        <v>525</v>
      </c>
      <c r="O33" s="587"/>
      <c r="P33" s="587"/>
      <c r="Q33" s="587"/>
      <c r="R33" s="356" t="s">
        <v>2</v>
      </c>
      <c r="S33" s="357">
        <v>91999904</v>
      </c>
      <c r="T33" s="358" t="s">
        <v>511</v>
      </c>
      <c r="U33" s="358" t="s">
        <v>508</v>
      </c>
      <c r="V33" s="359" t="s">
        <v>537</v>
      </c>
      <c r="W33" s="360">
        <v>7000000</v>
      </c>
      <c r="X33" s="358"/>
      <c r="Y33" s="361"/>
    </row>
    <row r="34" spans="1:28">
      <c r="A34" s="415"/>
      <c r="B34" s="452"/>
      <c r="C34" s="452"/>
      <c r="D34" s="452"/>
      <c r="E34" s="452"/>
      <c r="F34" s="452"/>
      <c r="G34" s="452"/>
      <c r="H34" s="452"/>
      <c r="I34" s="452"/>
      <c r="J34" s="452"/>
      <c r="K34" s="401"/>
      <c r="L34" s="542"/>
      <c r="M34" s="543"/>
      <c r="N34" s="543"/>
      <c r="O34" s="543"/>
      <c r="P34" s="543"/>
      <c r="Q34" s="543"/>
      <c r="R34" s="356" t="s">
        <v>2</v>
      </c>
      <c r="S34" s="357">
        <v>91999905</v>
      </c>
      <c r="T34" s="358" t="s">
        <v>507</v>
      </c>
      <c r="U34" s="358" t="s">
        <v>508</v>
      </c>
      <c r="V34" s="359" t="s">
        <v>537</v>
      </c>
      <c r="W34" s="360">
        <v>7000000</v>
      </c>
      <c r="X34" s="358"/>
      <c r="Y34" s="361"/>
    </row>
    <row r="35" spans="1:28">
      <c r="A35" s="528" t="s">
        <v>572</v>
      </c>
      <c r="B35" s="332"/>
      <c r="C35" s="332"/>
      <c r="D35" s="332"/>
      <c r="E35" s="332"/>
      <c r="F35" s="332"/>
      <c r="G35" s="332"/>
      <c r="H35" s="340"/>
      <c r="I35" s="340"/>
      <c r="J35" s="340"/>
      <c r="K35" s="401"/>
      <c r="L35" s="355"/>
      <c r="M35" s="543"/>
      <c r="N35" s="543"/>
      <c r="O35" s="543"/>
      <c r="P35" s="543"/>
      <c r="Q35" s="543"/>
      <c r="R35" s="356" t="s">
        <v>2</v>
      </c>
      <c r="S35" s="357">
        <v>91999906</v>
      </c>
      <c r="T35" s="358" t="s">
        <v>507</v>
      </c>
      <c r="U35" s="358" t="s">
        <v>508</v>
      </c>
      <c r="V35" s="359" t="s">
        <v>537</v>
      </c>
      <c r="W35" s="360">
        <v>7000000</v>
      </c>
      <c r="X35" s="358"/>
      <c r="Y35" s="361"/>
    </row>
    <row r="36" spans="1:28">
      <c r="A36" s="445" t="s">
        <v>512</v>
      </c>
      <c r="B36" s="332">
        <f t="shared" ref="B36:K36" si="9">IF(OR(B20="A",B20="B"),B84,ROUND(B84*B14%,0))</f>
        <v>677596</v>
      </c>
      <c r="C36" s="332">
        <f t="shared" si="9"/>
        <v>0</v>
      </c>
      <c r="D36" s="332">
        <f t="shared" si="9"/>
        <v>677596</v>
      </c>
      <c r="E36" s="332">
        <f t="shared" si="9"/>
        <v>677596</v>
      </c>
      <c r="F36" s="332">
        <f t="shared" si="9"/>
        <v>0</v>
      </c>
      <c r="G36" s="332">
        <f t="shared" si="9"/>
        <v>0</v>
      </c>
      <c r="H36" s="332">
        <f t="shared" si="9"/>
        <v>0</v>
      </c>
      <c r="I36" s="332">
        <f t="shared" si="9"/>
        <v>0</v>
      </c>
      <c r="J36" s="332">
        <f t="shared" si="9"/>
        <v>0</v>
      </c>
      <c r="K36" s="400">
        <f t="shared" si="9"/>
        <v>0</v>
      </c>
      <c r="L36" s="346">
        <f>SUM(B36:K36)</f>
        <v>2032788</v>
      </c>
      <c r="M36" s="379" t="s">
        <v>525</v>
      </c>
      <c r="N36" s="543"/>
      <c r="O36" s="543"/>
      <c r="P36" s="543"/>
      <c r="Q36" s="543"/>
      <c r="R36" s="356" t="s">
        <v>2</v>
      </c>
      <c r="S36" s="357">
        <v>91999907</v>
      </c>
      <c r="T36" s="358" t="s">
        <v>603</v>
      </c>
      <c r="U36" s="358" t="s">
        <v>508</v>
      </c>
      <c r="V36" s="359">
        <v>7065</v>
      </c>
      <c r="W36" s="360">
        <v>100</v>
      </c>
      <c r="X36" s="447" t="s">
        <v>542</v>
      </c>
      <c r="Y36" s="448"/>
      <c r="AA36" s="600"/>
      <c r="AB36" s="600"/>
    </row>
    <row r="37" spans="1:28">
      <c r="A37" s="445" t="s">
        <v>534</v>
      </c>
      <c r="B37" s="332">
        <f t="shared" ref="B37:K37" si="10">IF(OR(B20="A",B20="B"),ROUND(2369796/366*B18,0),ROUND(ROUND(2466.55*$B$4,0)/366*B18,0))*B21*IF(B19&lt;3,0,IF(B19&lt;6,50%,100%))</f>
        <v>200720</v>
      </c>
      <c r="C37" s="332">
        <f t="shared" si="10"/>
        <v>0</v>
      </c>
      <c r="D37" s="332">
        <f t="shared" si="10"/>
        <v>0</v>
      </c>
      <c r="E37" s="332">
        <f t="shared" si="10"/>
        <v>0</v>
      </c>
      <c r="F37" s="332">
        <f t="shared" si="10"/>
        <v>0</v>
      </c>
      <c r="G37" s="332">
        <f t="shared" si="10"/>
        <v>0</v>
      </c>
      <c r="H37" s="332">
        <f t="shared" si="10"/>
        <v>0</v>
      </c>
      <c r="I37" s="332">
        <f t="shared" si="10"/>
        <v>0</v>
      </c>
      <c r="J37" s="332">
        <f t="shared" si="10"/>
        <v>0</v>
      </c>
      <c r="K37" s="400">
        <f t="shared" si="10"/>
        <v>0</v>
      </c>
      <c r="L37" s="346">
        <f>SUM(B37:K37)</f>
        <v>200720</v>
      </c>
      <c r="M37" s="379" t="s">
        <v>525</v>
      </c>
      <c r="N37" s="543"/>
      <c r="O37" s="543"/>
      <c r="P37" s="543"/>
      <c r="Q37" s="543"/>
      <c r="R37" s="356" t="s">
        <v>2</v>
      </c>
      <c r="S37" s="357">
        <v>91999908</v>
      </c>
      <c r="T37" s="358" t="s">
        <v>507</v>
      </c>
      <c r="U37" s="358" t="s">
        <v>508</v>
      </c>
      <c r="V37" s="359">
        <v>7065</v>
      </c>
      <c r="W37" s="360">
        <v>100</v>
      </c>
      <c r="X37" s="447" t="s">
        <v>542</v>
      </c>
      <c r="Y37" s="448"/>
    </row>
    <row r="38" spans="1:28">
      <c r="A38" s="412"/>
      <c r="B38" s="331"/>
      <c r="C38" s="332"/>
      <c r="D38" s="368"/>
      <c r="E38" s="368"/>
      <c r="F38" s="368"/>
      <c r="G38" s="368"/>
      <c r="H38" s="340"/>
      <c r="I38" s="340"/>
      <c r="J38" s="340"/>
      <c r="K38" s="401"/>
      <c r="L38" s="355"/>
      <c r="M38" s="379"/>
      <c r="N38" s="543"/>
      <c r="O38" s="543"/>
      <c r="P38" s="543"/>
      <c r="Q38" s="543"/>
      <c r="R38" s="356" t="s">
        <v>2</v>
      </c>
      <c r="S38" s="357">
        <v>91999907</v>
      </c>
      <c r="T38" s="358" t="s">
        <v>603</v>
      </c>
      <c r="U38" s="358" t="s">
        <v>508</v>
      </c>
      <c r="V38" s="359">
        <v>7070</v>
      </c>
      <c r="W38" s="360">
        <v>200</v>
      </c>
      <c r="X38" s="447" t="s">
        <v>542</v>
      </c>
      <c r="Y38" s="448"/>
    </row>
    <row r="39" spans="1:28">
      <c r="A39" s="450" t="s">
        <v>61</v>
      </c>
      <c r="B39" s="365">
        <f t="shared" ref="B39:K39" si="11">SUM(B26:B34)</f>
        <v>17806660</v>
      </c>
      <c r="C39" s="366">
        <f t="shared" si="11"/>
        <v>14450000</v>
      </c>
      <c r="D39" s="366">
        <f t="shared" si="11"/>
        <v>16000000</v>
      </c>
      <c r="E39" s="366">
        <f t="shared" si="11"/>
        <v>31500000</v>
      </c>
      <c r="F39" s="366">
        <f t="shared" si="11"/>
        <v>98280000</v>
      </c>
      <c r="G39" s="366">
        <f t="shared" si="11"/>
        <v>87696037</v>
      </c>
      <c r="H39" s="366">
        <f t="shared" si="11"/>
        <v>22113188</v>
      </c>
      <c r="I39" s="366">
        <f t="shared" si="11"/>
        <v>55634452</v>
      </c>
      <c r="J39" s="366">
        <f t="shared" si="11"/>
        <v>5727273</v>
      </c>
      <c r="K39" s="630">
        <f t="shared" si="11"/>
        <v>6017242</v>
      </c>
      <c r="L39" s="355">
        <f>SUM(B39:K39)</f>
        <v>355224852</v>
      </c>
      <c r="M39" s="543"/>
      <c r="N39" s="379"/>
      <c r="O39" s="379"/>
      <c r="P39" s="379"/>
      <c r="Q39" s="379"/>
      <c r="R39" s="356" t="s">
        <v>2</v>
      </c>
      <c r="S39" s="357">
        <v>91999908</v>
      </c>
      <c r="T39" s="358" t="s">
        <v>507</v>
      </c>
      <c r="U39" s="358" t="s">
        <v>508</v>
      </c>
      <c r="V39" s="359">
        <v>7070</v>
      </c>
      <c r="W39" s="360">
        <v>200</v>
      </c>
      <c r="X39" s="447" t="s">
        <v>542</v>
      </c>
      <c r="Y39" s="448"/>
    </row>
    <row r="40" spans="1:28">
      <c r="A40" s="418"/>
      <c r="B40" s="331"/>
      <c r="C40" s="332"/>
      <c r="D40" s="332"/>
      <c r="E40" s="332"/>
      <c r="F40" s="332"/>
      <c r="G40" s="332"/>
      <c r="H40" s="340"/>
      <c r="I40" s="340"/>
      <c r="J40" s="340"/>
      <c r="K40" s="401"/>
      <c r="L40" s="355"/>
      <c r="M40" s="379"/>
      <c r="N40" s="379"/>
      <c r="O40" s="379"/>
      <c r="P40" s="379"/>
      <c r="Q40" s="379"/>
      <c r="R40" s="356" t="s">
        <v>2</v>
      </c>
      <c r="S40" s="357">
        <v>91999901</v>
      </c>
      <c r="T40" s="358" t="s">
        <v>507</v>
      </c>
      <c r="U40" s="358" t="s">
        <v>508</v>
      </c>
      <c r="V40" s="359">
        <v>9140</v>
      </c>
      <c r="W40" s="360"/>
      <c r="X40" s="750">
        <v>7.5999999999999998E-2</v>
      </c>
      <c r="Y40" s="448"/>
    </row>
    <row r="41" spans="1:28" ht="15.6">
      <c r="A41" s="419" t="s">
        <v>60</v>
      </c>
      <c r="B41" s="369"/>
      <c r="C41" s="362"/>
      <c r="D41" s="362"/>
      <c r="E41" s="362"/>
      <c r="F41" s="362"/>
      <c r="G41" s="362"/>
      <c r="H41" s="370"/>
      <c r="I41" s="370"/>
      <c r="J41" s="370"/>
      <c r="K41" s="383"/>
      <c r="L41" s="355"/>
      <c r="M41" s="379"/>
      <c r="N41" s="379"/>
      <c r="O41" s="379"/>
      <c r="P41" s="379"/>
      <c r="Q41" s="379"/>
      <c r="R41" s="356" t="s">
        <v>2</v>
      </c>
      <c r="S41" s="357">
        <v>91999907</v>
      </c>
      <c r="T41" s="358" t="s">
        <v>507</v>
      </c>
      <c r="U41" s="358" t="s">
        <v>508</v>
      </c>
      <c r="V41" s="359">
        <v>9140</v>
      </c>
      <c r="W41" s="360"/>
      <c r="X41" s="750">
        <v>0.56000000000000005</v>
      </c>
      <c r="Y41" s="448"/>
    </row>
    <row r="42" spans="1:28">
      <c r="A42" s="414" t="s">
        <v>55</v>
      </c>
      <c r="B42" s="369"/>
      <c r="C42" s="362"/>
      <c r="D42" s="362"/>
      <c r="E42" s="362"/>
      <c r="F42" s="362"/>
      <c r="G42" s="362"/>
      <c r="H42" s="370"/>
      <c r="I42" s="370"/>
      <c r="J42" s="370"/>
      <c r="K42" s="383"/>
      <c r="L42" s="355"/>
      <c r="M42" s="379"/>
      <c r="N42" s="379"/>
      <c r="O42" s="379"/>
      <c r="P42" s="379"/>
      <c r="Q42" s="379"/>
      <c r="R42" s="356" t="s">
        <v>773</v>
      </c>
      <c r="S42" s="357">
        <v>91999905</v>
      </c>
      <c r="T42" s="358" t="s">
        <v>507</v>
      </c>
      <c r="U42" s="358" t="s">
        <v>508</v>
      </c>
      <c r="V42" s="359" t="s">
        <v>649</v>
      </c>
      <c r="W42" s="360"/>
      <c r="X42" s="447">
        <v>1</v>
      </c>
      <c r="Y42" s="448"/>
    </row>
    <row r="43" spans="1:28">
      <c r="A43" s="424" t="s">
        <v>576</v>
      </c>
      <c r="B43" s="332">
        <f>ROUND(MIN(B$91,29800000)*'New Hire'!C56,0)</f>
        <v>832000</v>
      </c>
      <c r="C43" s="332">
        <f>ROUND(MIN(C$91,29800000)*'New Hire'!E56,0)</f>
        <v>0</v>
      </c>
      <c r="D43" s="332">
        <f>ROUND(MIN(D$91,29800000)*'New Hire'!G56,0)</f>
        <v>0</v>
      </c>
      <c r="E43" s="332">
        <f>ROUND(MIN(E$91,29800000)*'New Hire'!H56,0)</f>
        <v>0</v>
      </c>
      <c r="F43" s="332">
        <f>ROUND(MIN(F$91,29800000)*'New Hire'!J56,0)</f>
        <v>0</v>
      </c>
      <c r="G43" s="332">
        <f>ROUND(MIN(G$91,29800000)*'New Hire'!K56,0)</f>
        <v>2384000</v>
      </c>
      <c r="H43" s="332">
        <f>ROUND(MIN(H$91,29800000)*'New Hire'!L56,0)</f>
        <v>0</v>
      </c>
      <c r="I43" s="332">
        <f>ROUND(MIN(I$91,29800000)*'New Hire'!M56,0)</f>
        <v>920000</v>
      </c>
      <c r="J43" s="332">
        <f>ROUND(MIN(J$91,29800000)*'New Hire'!N56,0)</f>
        <v>0</v>
      </c>
      <c r="K43" s="400">
        <f>ROUND(MIN(K$91,29800000)*'New Hire'!P56,0)</f>
        <v>0</v>
      </c>
      <c r="L43" s="355">
        <f t="shared" ref="L43:L47" si="12">SUM(B43:K43)</f>
        <v>4136000</v>
      </c>
      <c r="M43" s="379"/>
      <c r="N43" s="379"/>
      <c r="O43" s="379"/>
      <c r="P43" s="379"/>
      <c r="Q43" s="379"/>
      <c r="R43" s="514" t="s">
        <v>1221</v>
      </c>
      <c r="S43" s="518">
        <v>91999901</v>
      </c>
      <c r="T43" s="650" t="s">
        <v>1222</v>
      </c>
      <c r="U43" s="648" t="s">
        <v>1223</v>
      </c>
      <c r="V43" s="649">
        <v>1000</v>
      </c>
      <c r="W43" s="438">
        <v>8000000</v>
      </c>
      <c r="X43" s="444"/>
      <c r="Y43" s="539"/>
    </row>
    <row r="44" spans="1:28">
      <c r="A44" s="445" t="s">
        <v>577</v>
      </c>
      <c r="B44" s="332">
        <f>ROUND(MIN(B$91,88400000)*'New Hire'!C59,0)</f>
        <v>104000</v>
      </c>
      <c r="C44" s="332">
        <f>ROUND(MIN(C$91,88400000)*'New Hire'!E59,0)</f>
        <v>144500</v>
      </c>
      <c r="D44" s="332">
        <f>ROUND(MIN(D$91,88400000)*'New Hire'!G59,0)</f>
        <v>0</v>
      </c>
      <c r="E44" s="332">
        <f>ROUND(MIN(E$91,88400000)*'New Hire'!H59,0)</f>
        <v>0</v>
      </c>
      <c r="F44" s="332">
        <f>ROUND(MIN(F$91,88400000)*'New Hire'!J59,0)</f>
        <v>0</v>
      </c>
      <c r="G44" s="360">
        <f>ROUND(MIN(G$91,88400000)*'New Hire'!K59,0)</f>
        <v>715000</v>
      </c>
      <c r="H44" s="332">
        <f>ROUND(MIN(H$91,88400000)*'New Hire'!L59,0)</f>
        <v>0</v>
      </c>
      <c r="I44" s="332">
        <f>ROUND(MIN(I$91,88400000)*'New Hire'!M59,0)</f>
        <v>115000</v>
      </c>
      <c r="J44" s="332">
        <f>ROUND(MIN(J$91,88400000)*'New Hire'!N59,0)</f>
        <v>0</v>
      </c>
      <c r="K44" s="400">
        <f>ROUND(MIN(K$91,88400000)*'New Hire'!P59,0)</f>
        <v>0</v>
      </c>
      <c r="L44" s="355">
        <f t="shared" si="12"/>
        <v>1078500</v>
      </c>
      <c r="M44" s="379"/>
      <c r="N44" s="379"/>
      <c r="O44" s="379"/>
      <c r="P44" s="379"/>
      <c r="Q44" s="379"/>
      <c r="R44" s="514" t="s">
        <v>1221</v>
      </c>
      <c r="S44" s="518">
        <v>91999901</v>
      </c>
      <c r="T44" s="650" t="s">
        <v>1222</v>
      </c>
      <c r="U44" s="648" t="s">
        <v>1223</v>
      </c>
      <c r="V44" s="649">
        <v>1100</v>
      </c>
      <c r="W44" s="438">
        <v>800000</v>
      </c>
      <c r="X44" s="444"/>
      <c r="Y44" s="539"/>
    </row>
    <row r="45" spans="1:28">
      <c r="A45" s="445" t="s">
        <v>578</v>
      </c>
      <c r="B45" s="332">
        <f>ROUND(MIN(B$91,29800000)*'New Hire'!C62,0)</f>
        <v>156000</v>
      </c>
      <c r="C45" s="332">
        <f>ROUND(MIN(C$91,29800000)*'New Hire'!E62,0)</f>
        <v>216750</v>
      </c>
      <c r="D45" s="332">
        <f>ROUND(MIN(D$91,29800000)*'New Hire'!G62,0)</f>
        <v>0</v>
      </c>
      <c r="E45" s="332">
        <f>ROUND(MIN(E$91,29800000)*'New Hire'!H62,0)</f>
        <v>0</v>
      </c>
      <c r="F45" s="332">
        <f>ROUND(MIN(F$91,29800000)*'New Hire'!J62,0)</f>
        <v>447000</v>
      </c>
      <c r="G45" s="332">
        <f>ROUND(MIN(G$91,29800000)*'New Hire'!K62,0)</f>
        <v>447000</v>
      </c>
      <c r="H45" s="332">
        <f>ROUND(MIN(H$91,29800000)*'New Hire'!L62,0)</f>
        <v>0</v>
      </c>
      <c r="I45" s="332">
        <f>ROUND(MIN(I$91,29800000)*'New Hire'!M62,0)</f>
        <v>172500</v>
      </c>
      <c r="J45" s="332">
        <f>ROUND(MIN(J$91,29800000)*'New Hire'!N62,0)</f>
        <v>0</v>
      </c>
      <c r="K45" s="400">
        <f>ROUND(MIN(K$91,29800000)*'New Hire'!P62,0)</f>
        <v>0</v>
      </c>
      <c r="L45" s="355">
        <f t="shared" si="12"/>
        <v>1439250</v>
      </c>
      <c r="M45" s="379"/>
      <c r="N45" s="379"/>
      <c r="O45" s="379"/>
      <c r="P45" s="379"/>
      <c r="Q45" s="379"/>
      <c r="R45" s="514" t="s">
        <v>1221</v>
      </c>
      <c r="S45" s="518">
        <v>91999901</v>
      </c>
      <c r="T45" s="650" t="s">
        <v>1222</v>
      </c>
      <c r="U45" s="648" t="s">
        <v>1223</v>
      </c>
      <c r="V45" s="649">
        <v>1102</v>
      </c>
      <c r="W45" s="438">
        <v>1600000</v>
      </c>
      <c r="X45" s="444"/>
      <c r="Y45" s="539"/>
    </row>
    <row r="46" spans="1:28">
      <c r="A46" s="412" t="s">
        <v>111</v>
      </c>
      <c r="B46" s="331">
        <f t="shared" ref="B46:K46" si="13">B98</f>
        <v>0</v>
      </c>
      <c r="C46" s="332">
        <f t="shared" si="13"/>
        <v>74438</v>
      </c>
      <c r="D46" s="332">
        <f t="shared" si="13"/>
        <v>1667760</v>
      </c>
      <c r="E46" s="332">
        <f t="shared" si="13"/>
        <v>2985519</v>
      </c>
      <c r="F46" s="332">
        <f t="shared" si="13"/>
        <v>19656000</v>
      </c>
      <c r="G46" s="332">
        <f t="shared" si="13"/>
        <v>3923409</v>
      </c>
      <c r="H46" s="332">
        <f t="shared" si="13"/>
        <v>200000</v>
      </c>
      <c r="I46" s="332">
        <f t="shared" si="13"/>
        <v>2300000</v>
      </c>
      <c r="J46" s="332">
        <f t="shared" si="13"/>
        <v>0</v>
      </c>
      <c r="K46" s="400">
        <f t="shared" si="13"/>
        <v>450000</v>
      </c>
      <c r="L46" s="355">
        <f t="shared" si="12"/>
        <v>31257126</v>
      </c>
      <c r="M46" s="379"/>
      <c r="N46" s="379"/>
      <c r="O46" s="379"/>
      <c r="P46" s="379"/>
      <c r="Q46" s="379"/>
      <c r="R46" s="42"/>
      <c r="S46" s="43"/>
      <c r="T46" s="13"/>
      <c r="U46" s="13"/>
      <c r="V46" s="61"/>
      <c r="W46" s="362"/>
      <c r="X46" s="13"/>
      <c r="Y46" s="18"/>
      <c r="Z46" s="293"/>
      <c r="AA46" s="293"/>
    </row>
    <row r="47" spans="1:28">
      <c r="A47" s="445" t="s">
        <v>1229</v>
      </c>
      <c r="B47" s="332">
        <f>'UAT12-Dec'!B57</f>
        <v>0</v>
      </c>
      <c r="C47" s="332">
        <f>'UAT12-Dec'!C57</f>
        <v>0</v>
      </c>
      <c r="D47" s="332">
        <v>0</v>
      </c>
      <c r="E47" s="332">
        <f>'UAT12-Dec'!E57</f>
        <v>0</v>
      </c>
      <c r="F47" s="332">
        <f>'UAT12-Dec'!F57</f>
        <v>0</v>
      </c>
      <c r="G47" s="332">
        <f>'UAT12-Dec'!G57</f>
        <v>0</v>
      </c>
      <c r="H47" s="332">
        <f>'UAT12-Dec'!H57</f>
        <v>0</v>
      </c>
      <c r="I47" s="332">
        <f>'UAT12-Dec'!J57</f>
        <v>10762586</v>
      </c>
      <c r="J47" s="332"/>
      <c r="K47" s="400">
        <f>'UAT12-Dec'!K57</f>
        <v>0</v>
      </c>
      <c r="L47" s="355">
        <f t="shared" si="12"/>
        <v>10762586</v>
      </c>
      <c r="M47" s="379"/>
      <c r="N47" s="379"/>
      <c r="O47" s="379"/>
      <c r="P47" s="379"/>
      <c r="Q47" s="379"/>
      <c r="R47" s="42"/>
      <c r="S47" s="43"/>
      <c r="T47" s="13"/>
      <c r="U47" s="13"/>
      <c r="V47" s="61"/>
      <c r="W47" s="362"/>
      <c r="X47" s="13"/>
      <c r="Y47" s="18"/>
      <c r="Z47" s="293"/>
      <c r="AA47" s="293"/>
    </row>
    <row r="48" spans="1:28">
      <c r="A48" s="445" t="s">
        <v>535</v>
      </c>
      <c r="B48" s="332">
        <f>B37</f>
        <v>200720</v>
      </c>
      <c r="C48" s="332">
        <f t="shared" ref="C48:K48" si="14">C37</f>
        <v>0</v>
      </c>
      <c r="D48" s="332">
        <f t="shared" si="14"/>
        <v>0</v>
      </c>
      <c r="E48" s="332">
        <f t="shared" si="14"/>
        <v>0</v>
      </c>
      <c r="F48" s="332">
        <f t="shared" si="14"/>
        <v>0</v>
      </c>
      <c r="G48" s="332">
        <f t="shared" si="14"/>
        <v>0</v>
      </c>
      <c r="H48" s="332">
        <f t="shared" si="14"/>
        <v>0</v>
      </c>
      <c r="I48" s="332">
        <f t="shared" si="14"/>
        <v>0</v>
      </c>
      <c r="J48" s="332">
        <f t="shared" si="14"/>
        <v>0</v>
      </c>
      <c r="K48" s="332">
        <f t="shared" si="14"/>
        <v>0</v>
      </c>
      <c r="L48" s="346">
        <f>SUM(B48:K48)</f>
        <v>200720</v>
      </c>
      <c r="M48" s="379"/>
      <c r="N48" s="379"/>
      <c r="O48" s="379"/>
      <c r="P48" s="379"/>
      <c r="Q48" s="379"/>
      <c r="R48" s="42"/>
      <c r="S48" s="43"/>
      <c r="T48" s="13"/>
      <c r="U48" s="13"/>
      <c r="V48" s="61"/>
      <c r="W48" s="362"/>
      <c r="X48" s="13"/>
      <c r="Y48" s="18"/>
      <c r="Z48" s="293"/>
      <c r="AA48" s="293"/>
    </row>
    <row r="49" spans="1:27">
      <c r="A49" s="445" t="s">
        <v>538</v>
      </c>
      <c r="B49" s="332">
        <f>B85</f>
        <v>592896</v>
      </c>
      <c r="C49" s="332">
        <f t="shared" ref="C49:K49" si="15">C85</f>
        <v>0</v>
      </c>
      <c r="D49" s="332">
        <f t="shared" si="15"/>
        <v>592896</v>
      </c>
      <c r="E49" s="332">
        <f t="shared" si="15"/>
        <v>592896</v>
      </c>
      <c r="F49" s="332">
        <f t="shared" si="15"/>
        <v>0</v>
      </c>
      <c r="G49" s="332">
        <f t="shared" si="15"/>
        <v>0</v>
      </c>
      <c r="H49" s="332">
        <f t="shared" si="15"/>
        <v>0</v>
      </c>
      <c r="I49" s="332">
        <f t="shared" si="15"/>
        <v>0</v>
      </c>
      <c r="J49" s="332">
        <f t="shared" si="15"/>
        <v>0</v>
      </c>
      <c r="K49" s="332">
        <f t="shared" si="15"/>
        <v>0</v>
      </c>
      <c r="L49" s="355">
        <f>SUM(B49:K49)</f>
        <v>1778688</v>
      </c>
      <c r="M49" s="379"/>
      <c r="N49" s="379"/>
      <c r="O49" s="347"/>
      <c r="P49" s="347"/>
      <c r="Q49" s="347"/>
      <c r="R49" s="24" t="s">
        <v>57</v>
      </c>
      <c r="S49" s="37" t="s">
        <v>67</v>
      </c>
      <c r="T49" s="37" t="s">
        <v>69</v>
      </c>
      <c r="U49" s="37" t="s">
        <v>70</v>
      </c>
      <c r="V49" s="62" t="s">
        <v>425</v>
      </c>
      <c r="W49" s="363" t="s">
        <v>426</v>
      </c>
      <c r="X49" s="37" t="s">
        <v>56</v>
      </c>
      <c r="Y49" s="38"/>
      <c r="Z49" s="293"/>
      <c r="AA49" s="293"/>
    </row>
    <row r="50" spans="1:27">
      <c r="A50" s="412"/>
      <c r="B50" s="371"/>
      <c r="C50" s="372"/>
      <c r="D50" s="372"/>
      <c r="E50" s="372"/>
      <c r="F50" s="372"/>
      <c r="G50" s="372"/>
      <c r="H50" s="373"/>
      <c r="I50" s="373"/>
      <c r="J50" s="373"/>
      <c r="K50" s="403"/>
      <c r="L50" s="355"/>
      <c r="M50" s="379"/>
      <c r="N50" s="379"/>
      <c r="O50" s="379"/>
      <c r="P50" s="379"/>
      <c r="Q50" s="379"/>
      <c r="R50" s="523" t="s">
        <v>424</v>
      </c>
      <c r="S50" s="524">
        <v>91999906</v>
      </c>
      <c r="T50" s="525" t="s">
        <v>880</v>
      </c>
      <c r="U50" s="525" t="s">
        <v>880</v>
      </c>
      <c r="V50" s="292">
        <v>0.375</v>
      </c>
      <c r="W50" s="292">
        <v>0.47916666666666669</v>
      </c>
      <c r="X50" s="290">
        <v>9180</v>
      </c>
      <c r="Y50" s="479">
        <v>2.5</v>
      </c>
      <c r="Z50" s="293"/>
      <c r="AA50" s="293"/>
    </row>
    <row r="51" spans="1:27">
      <c r="A51" s="420" t="s">
        <v>4</v>
      </c>
      <c r="B51" s="365">
        <f t="shared" ref="B51:K51" si="16">SUM(B43:B50)</f>
        <v>1885616</v>
      </c>
      <c r="C51" s="366">
        <f t="shared" si="16"/>
        <v>435688</v>
      </c>
      <c r="D51" s="366">
        <f t="shared" si="16"/>
        <v>2260656</v>
      </c>
      <c r="E51" s="366">
        <f t="shared" si="16"/>
        <v>3578415</v>
      </c>
      <c r="F51" s="366">
        <f t="shared" si="16"/>
        <v>20103000</v>
      </c>
      <c r="G51" s="366">
        <f t="shared" si="16"/>
        <v>7469409</v>
      </c>
      <c r="H51" s="366">
        <f t="shared" si="16"/>
        <v>200000</v>
      </c>
      <c r="I51" s="366">
        <f t="shared" si="16"/>
        <v>14270086</v>
      </c>
      <c r="J51" s="366">
        <f t="shared" si="16"/>
        <v>0</v>
      </c>
      <c r="K51" s="638">
        <f t="shared" si="16"/>
        <v>450000</v>
      </c>
      <c r="L51" s="355">
        <f>SUM(B51:K51)</f>
        <v>50652870</v>
      </c>
      <c r="M51" s="379"/>
      <c r="N51" s="379"/>
      <c r="O51" s="379"/>
      <c r="P51" s="379"/>
      <c r="Q51" s="379"/>
      <c r="R51" s="523" t="s">
        <v>423</v>
      </c>
      <c r="S51" s="524">
        <v>91999906</v>
      </c>
      <c r="T51" s="525" t="s">
        <v>881</v>
      </c>
      <c r="U51" s="525" t="s">
        <v>881</v>
      </c>
      <c r="V51" s="292">
        <v>0.375</v>
      </c>
      <c r="W51" s="292">
        <v>0.47916666666666669</v>
      </c>
      <c r="X51" s="290">
        <v>9180</v>
      </c>
      <c r="Y51" s="479">
        <v>2.5</v>
      </c>
      <c r="Z51" s="293"/>
      <c r="AA51" s="293"/>
    </row>
    <row r="52" spans="1:27">
      <c r="A52" s="421"/>
      <c r="B52" s="331"/>
      <c r="C52" s="332"/>
      <c r="D52" s="332"/>
      <c r="E52" s="332"/>
      <c r="F52" s="332"/>
      <c r="G52" s="332"/>
      <c r="H52" s="340"/>
      <c r="I52" s="340"/>
      <c r="J52" s="340"/>
      <c r="K52" s="401"/>
      <c r="L52" s="355"/>
      <c r="M52" s="379"/>
      <c r="N52" s="379"/>
      <c r="O52" s="379"/>
      <c r="P52" s="379"/>
      <c r="Q52" s="379"/>
      <c r="R52" s="523" t="s">
        <v>423</v>
      </c>
      <c r="S52" s="524">
        <v>91999914</v>
      </c>
      <c r="T52" s="525" t="s">
        <v>882</v>
      </c>
      <c r="U52" s="525" t="s">
        <v>882</v>
      </c>
      <c r="V52" s="292">
        <v>0.375</v>
      </c>
      <c r="W52" s="292">
        <v>0.47916666666666669</v>
      </c>
      <c r="X52" s="290">
        <v>9180</v>
      </c>
      <c r="Y52" s="479">
        <v>2.5</v>
      </c>
      <c r="AA52" s="293"/>
    </row>
    <row r="53" spans="1:27" ht="14.4" thickBot="1">
      <c r="A53" s="450" t="s">
        <v>5</v>
      </c>
      <c r="B53" s="334">
        <f t="shared" ref="B53:K53" si="17">MAX(B39-B51,0)</f>
        <v>15921044</v>
      </c>
      <c r="C53" s="334">
        <f t="shared" si="17"/>
        <v>14014312</v>
      </c>
      <c r="D53" s="334">
        <f t="shared" si="17"/>
        <v>13739344</v>
      </c>
      <c r="E53" s="334">
        <f t="shared" si="17"/>
        <v>27921585</v>
      </c>
      <c r="F53" s="334">
        <f t="shared" si="17"/>
        <v>78177000</v>
      </c>
      <c r="G53" s="334">
        <f t="shared" si="17"/>
        <v>80226628</v>
      </c>
      <c r="H53" s="334">
        <f t="shared" si="17"/>
        <v>21913188</v>
      </c>
      <c r="I53" s="334">
        <f t="shared" si="17"/>
        <v>41364366</v>
      </c>
      <c r="J53" s="334">
        <f t="shared" si="17"/>
        <v>5727273</v>
      </c>
      <c r="K53" s="404">
        <f t="shared" si="17"/>
        <v>5567242</v>
      </c>
      <c r="L53" s="355">
        <f>SUM(B53:K53)</f>
        <v>304571982</v>
      </c>
      <c r="M53" s="347"/>
      <c r="N53" s="347"/>
      <c r="O53" s="347"/>
      <c r="P53" s="347"/>
      <c r="Q53" s="347"/>
      <c r="R53" s="523" t="s">
        <v>423</v>
      </c>
      <c r="S53" s="524">
        <v>91999914</v>
      </c>
      <c r="T53" s="525" t="s">
        <v>883</v>
      </c>
      <c r="U53" s="525" t="s">
        <v>883</v>
      </c>
      <c r="V53" s="292">
        <v>0.375</v>
      </c>
      <c r="W53" s="292">
        <v>0.47916666666666669</v>
      </c>
      <c r="X53" s="290">
        <v>9180</v>
      </c>
      <c r="Y53" s="479">
        <v>2.5</v>
      </c>
      <c r="AA53" s="293"/>
    </row>
    <row r="54" spans="1:27" ht="14.4" thickTop="1">
      <c r="A54" s="450"/>
      <c r="B54" s="332"/>
      <c r="C54" s="332"/>
      <c r="D54" s="332"/>
      <c r="E54" s="332"/>
      <c r="F54" s="332"/>
      <c r="G54" s="332"/>
      <c r="H54" s="332"/>
      <c r="I54" s="332"/>
      <c r="J54" s="332"/>
      <c r="K54" s="400"/>
      <c r="L54" s="355"/>
      <c r="M54" s="379"/>
      <c r="N54" s="379"/>
      <c r="O54" s="379"/>
      <c r="P54" s="379"/>
      <c r="Q54" s="379"/>
      <c r="R54" s="514" t="s">
        <v>1244</v>
      </c>
      <c r="S54" s="545">
        <v>91999912</v>
      </c>
      <c r="T54" s="546">
        <v>43800</v>
      </c>
      <c r="U54" s="546">
        <v>43814</v>
      </c>
      <c r="V54" s="515"/>
      <c r="W54" s="515"/>
      <c r="X54" s="516">
        <v>3000</v>
      </c>
      <c r="Y54" s="517">
        <v>10</v>
      </c>
      <c r="Z54">
        <f>NETWORKDAYS(T54,U54)</f>
        <v>10</v>
      </c>
      <c r="AA54" s="293"/>
    </row>
    <row r="55" spans="1:27" ht="15.6">
      <c r="A55" s="411" t="s">
        <v>62</v>
      </c>
      <c r="B55" s="374"/>
      <c r="C55" s="405"/>
      <c r="D55" s="405"/>
      <c r="E55" s="405"/>
      <c r="F55" s="405"/>
      <c r="G55" s="405"/>
      <c r="H55" s="370"/>
      <c r="I55" s="370"/>
      <c r="J55" s="370"/>
      <c r="K55" s="383"/>
      <c r="L55" s="383"/>
      <c r="M55" s="379"/>
      <c r="N55" s="379"/>
      <c r="O55" s="379"/>
      <c r="P55" s="379"/>
      <c r="Q55" s="379"/>
      <c r="R55" s="33"/>
      <c r="S55" s="45"/>
      <c r="T55" s="13"/>
      <c r="U55" s="13"/>
      <c r="V55" s="13"/>
      <c r="W55" s="13"/>
      <c r="X55" s="13"/>
      <c r="Y55" s="18"/>
      <c r="AA55" s="293"/>
    </row>
    <row r="56" spans="1:27">
      <c r="A56" s="424" t="s">
        <v>573</v>
      </c>
      <c r="B56" s="332">
        <f>ROUND(MIN(B$91,29800000)*'New Hire'!C57,0)</f>
        <v>1768000</v>
      </c>
      <c r="C56" s="332">
        <f>ROUND(MIN(C$91,29800000)*'New Hire'!E57,0)</f>
        <v>72250</v>
      </c>
      <c r="D56" s="332">
        <f>ROUND(MIN(D$91,29800000)*'New Hire'!G57,0)</f>
        <v>0</v>
      </c>
      <c r="E56" s="332">
        <f>ROUND(MIN(E$91,29800000)*'New Hire'!H57,0)</f>
        <v>0</v>
      </c>
      <c r="F56" s="332">
        <f>ROUND(MIN(F$91,29800000)*'New Hire'!J57,0)</f>
        <v>149000</v>
      </c>
      <c r="G56" s="332">
        <f>ROUND(MIN(G$91,29800000)*'New Hire'!K57,0)</f>
        <v>5066000</v>
      </c>
      <c r="H56" s="332">
        <f>ROUND(MIN(H$91,29800000)*'New Hire'!L57,0)</f>
        <v>0</v>
      </c>
      <c r="I56" s="332">
        <f>ROUND(MIN(I$91,29800000)*'New Hire'!M57,0)</f>
        <v>1955000</v>
      </c>
      <c r="J56" s="332">
        <f>ROUND(MIN(J$91,29800000)*'New Hire'!N57,0)</f>
        <v>0</v>
      </c>
      <c r="K56" s="400">
        <f>ROUND(MIN(K$91,29800000)*'New Hire'!P57,0)</f>
        <v>0</v>
      </c>
      <c r="L56" s="346">
        <f>SUM(B56:K56)</f>
        <v>9010250</v>
      </c>
      <c r="M56" s="379"/>
      <c r="N56" s="379"/>
      <c r="O56" s="379"/>
      <c r="P56" s="379"/>
      <c r="Q56" s="379"/>
      <c r="R56" s="33"/>
      <c r="S56" s="45"/>
      <c r="T56" s="13"/>
      <c r="U56" s="13"/>
      <c r="V56" s="13"/>
      <c r="W56" s="13"/>
      <c r="X56" s="13"/>
      <c r="Y56" s="18"/>
      <c r="AA56" s="293"/>
    </row>
    <row r="57" spans="1:27">
      <c r="A57" s="445" t="s">
        <v>574</v>
      </c>
      <c r="B57" s="332">
        <f>ROUND(MIN(B$91,88400000)*'New Hire'!C60,0)</f>
        <v>104000</v>
      </c>
      <c r="C57" s="332">
        <f>ROUND(MIN(C$91,88400000)*'New Hire'!E60,0)</f>
        <v>144500</v>
      </c>
      <c r="D57" s="332">
        <f>ROUND(MIN(D$91,88400000)*'New Hire'!G60,0)</f>
        <v>0</v>
      </c>
      <c r="E57" s="332">
        <f>ROUND(MIN(E$91,88400000)*'New Hire'!H60,0)</f>
        <v>0</v>
      </c>
      <c r="F57" s="332">
        <f>ROUND(MIN(F$91,88400000)*'New Hire'!J60,0)</f>
        <v>0</v>
      </c>
      <c r="G57" s="332">
        <f>ROUND(MIN(G$91,88400000)*'New Hire'!K60,0)</f>
        <v>715000</v>
      </c>
      <c r="H57" s="332">
        <f>ROUND(MIN(H$91,88400000)*'New Hire'!L60,0)</f>
        <v>0</v>
      </c>
      <c r="I57" s="332">
        <f>ROUND(MIN(I$91,88400000)*'New Hire'!M60,0)</f>
        <v>115000</v>
      </c>
      <c r="J57" s="332">
        <f>ROUND(MIN(J$91,88400000)*'New Hire'!N60,0)</f>
        <v>0</v>
      </c>
      <c r="K57" s="400">
        <f>ROUND(MIN(K$91,88400000)*'New Hire'!P60,0)</f>
        <v>0</v>
      </c>
      <c r="L57" s="346">
        <f>SUM(B57:K57)</f>
        <v>1078500</v>
      </c>
      <c r="M57" s="379"/>
      <c r="N57" s="379"/>
      <c r="O57" s="379"/>
      <c r="P57" s="379"/>
      <c r="Q57" s="379"/>
      <c r="R57" s="32"/>
      <c r="S57" s="44"/>
      <c r="T57" s="13"/>
      <c r="U57" s="13"/>
      <c r="V57" s="13"/>
      <c r="W57" s="13"/>
      <c r="X57" s="13"/>
      <c r="Y57" s="18"/>
      <c r="AA57" s="293"/>
    </row>
    <row r="58" spans="1:27">
      <c r="A58" s="445" t="s">
        <v>575</v>
      </c>
      <c r="B58" s="332">
        <f>ROUND(MIN(B$91,29800000)*'New Hire'!C63,0)</f>
        <v>312000</v>
      </c>
      <c r="C58" s="332">
        <f>ROUND(MIN(C$91,29800000)*'New Hire'!E63,0)</f>
        <v>433500</v>
      </c>
      <c r="D58" s="332">
        <f>ROUND(MIN(D$91,29800000)*'New Hire'!G63,0)</f>
        <v>0</v>
      </c>
      <c r="E58" s="332">
        <f>ROUND(MIN(E$91,29800000)*'New Hire'!H63,0)</f>
        <v>0</v>
      </c>
      <c r="F58" s="332">
        <f>ROUND(MIN(F$91,29800000)*'New Hire'!J63,0)</f>
        <v>894000</v>
      </c>
      <c r="G58" s="332">
        <f>ROUND(MIN(G$91,29800000)*'New Hire'!K63,0)</f>
        <v>894000</v>
      </c>
      <c r="H58" s="332">
        <f>ROUND(MIN(H$91,29800000)*'New Hire'!L63,0)</f>
        <v>0</v>
      </c>
      <c r="I58" s="332">
        <f>ROUND(MIN(I$91,29800000)*'New Hire'!M63,0)</f>
        <v>345000</v>
      </c>
      <c r="J58" s="332">
        <f>ROUND(MIN(J$91,29800000)*'New Hire'!N63,0)</f>
        <v>0</v>
      </c>
      <c r="K58" s="400">
        <f>ROUND(MIN(K$91,29800000)*'New Hire'!P63,0)</f>
        <v>0</v>
      </c>
      <c r="L58" s="346">
        <f>SUM(B58:K58)</f>
        <v>2878500</v>
      </c>
      <c r="M58" s="379"/>
      <c r="N58" s="379"/>
      <c r="O58" s="379"/>
      <c r="P58" s="379"/>
      <c r="Q58" s="379"/>
      <c r="Z58" s="293"/>
      <c r="AA58" s="293"/>
    </row>
    <row r="59" spans="1:27">
      <c r="A59" s="445" t="s">
        <v>1131</v>
      </c>
      <c r="B59" s="332">
        <f t="shared" ref="B59:K59" si="18">ROUND(MIN(B91,29800000)*2%,0)</f>
        <v>208000</v>
      </c>
      <c r="C59" s="332">
        <f t="shared" si="18"/>
        <v>289000</v>
      </c>
      <c r="D59" s="332">
        <f t="shared" si="18"/>
        <v>320000</v>
      </c>
      <c r="E59" s="332">
        <f t="shared" si="18"/>
        <v>0</v>
      </c>
      <c r="F59" s="332">
        <f t="shared" si="18"/>
        <v>596000</v>
      </c>
      <c r="G59" s="332">
        <f t="shared" si="18"/>
        <v>596000</v>
      </c>
      <c r="H59" s="332">
        <f t="shared" si="18"/>
        <v>260000</v>
      </c>
      <c r="I59" s="332">
        <f t="shared" si="18"/>
        <v>230000</v>
      </c>
      <c r="J59" s="332">
        <f t="shared" si="18"/>
        <v>210000</v>
      </c>
      <c r="K59" s="400">
        <f t="shared" si="18"/>
        <v>0</v>
      </c>
      <c r="L59" s="355">
        <f>SUM(B59:K59)</f>
        <v>2709000</v>
      </c>
      <c r="M59" s="341"/>
      <c r="N59" s="332"/>
      <c r="O59" s="332"/>
      <c r="P59" s="341"/>
      <c r="Q59" s="379"/>
      <c r="Z59" s="293"/>
      <c r="AA59" s="293"/>
    </row>
    <row r="60" spans="1:27">
      <c r="A60" s="412"/>
      <c r="B60" s="331"/>
      <c r="C60" s="332"/>
      <c r="D60" s="332"/>
      <c r="E60" s="332"/>
      <c r="F60" s="332"/>
      <c r="G60" s="332"/>
      <c r="H60" s="340"/>
      <c r="I60" s="340"/>
      <c r="J60" s="340"/>
      <c r="K60" s="401"/>
      <c r="L60" s="346"/>
      <c r="M60" s="379"/>
      <c r="N60" s="379"/>
      <c r="O60" s="379"/>
      <c r="P60" s="379"/>
      <c r="Q60" s="379"/>
      <c r="Z60" s="293"/>
      <c r="AA60" s="293"/>
    </row>
    <row r="61" spans="1:27" ht="15.6">
      <c r="A61" s="411" t="s">
        <v>475</v>
      </c>
      <c r="B61" s="331"/>
      <c r="C61" s="332"/>
      <c r="D61" s="332"/>
      <c r="E61" s="332"/>
      <c r="F61" s="332"/>
      <c r="G61" s="332"/>
      <c r="H61" s="340"/>
      <c r="I61" s="340"/>
      <c r="J61" s="340"/>
      <c r="K61" s="401"/>
      <c r="L61" s="346"/>
      <c r="M61" s="379"/>
      <c r="N61" s="379"/>
      <c r="O61" s="379"/>
      <c r="P61" s="379"/>
      <c r="Q61" s="379"/>
      <c r="Z61" s="293"/>
      <c r="AA61" s="293"/>
    </row>
    <row r="62" spans="1:27">
      <c r="A62" s="445" t="s">
        <v>476</v>
      </c>
      <c r="B62" s="332">
        <f>IF(OR(B12="1",B12="P"),ROUND(B126*B82,0),0)</f>
        <v>702290</v>
      </c>
      <c r="C62" s="332">
        <f>IF(OR(C12="1",C12="P"),ROUND(C126*C82,0),0)</f>
        <v>0</v>
      </c>
      <c r="D62" s="332">
        <f>IF(OR(D12="1",D12="P"),ROUND(D126*D82,0),0)</f>
        <v>0</v>
      </c>
      <c r="E62" s="332">
        <f>IF(OR(E12="1",E12="P"),ROUND(E126*E82,0),0)</f>
        <v>0</v>
      </c>
      <c r="F62" s="332">
        <f>IF(OR(F12="1",F12="P"),ROUND(F126*F82,0),0)</f>
        <v>0</v>
      </c>
      <c r="G62" s="592">
        <v>0</v>
      </c>
      <c r="H62" s="332">
        <f>IF(OR(H12="1",H12="P"),ROUND(H126*H82,0),0)</f>
        <v>877863</v>
      </c>
      <c r="I62" s="332">
        <f>IF(OR(I12="1",I12="P"),ROUND(I126*I82,0),0)</f>
        <v>1009542</v>
      </c>
      <c r="J62" s="332">
        <f>IF(OR(J12="1",J12="P"),ROUND(J126*J82,0),0)</f>
        <v>0</v>
      </c>
      <c r="K62" s="400">
        <f>IF(OR(K12="1",K12="P"),ROUND(K126*K82,0),0)</f>
        <v>0</v>
      </c>
      <c r="L62" s="346">
        <f>SUM(B62:K62)</f>
        <v>2589695</v>
      </c>
      <c r="M62" s="379"/>
      <c r="N62" s="379"/>
      <c r="O62" s="379"/>
      <c r="P62" s="379"/>
      <c r="Q62" s="379"/>
      <c r="Z62" s="293"/>
      <c r="AA62" s="293"/>
    </row>
    <row r="63" spans="1:27">
      <c r="A63" s="463" t="s">
        <v>1225</v>
      </c>
      <c r="B63" s="438">
        <f>IF(OR(B12="1",B12="P"),ROUND(B126*'UAT12-Dec'!B89,0),0)+'UAT11-Nov'!B66-'UAT12-Dec'!B65</f>
        <v>84292</v>
      </c>
      <c r="C63" s="438"/>
      <c r="D63" s="438"/>
      <c r="E63" s="438"/>
      <c r="F63" s="438"/>
      <c r="G63" s="438"/>
      <c r="H63" s="438"/>
      <c r="I63" s="438"/>
      <c r="J63" s="438"/>
      <c r="K63" s="511"/>
      <c r="L63" s="504">
        <f>SUM(B63:K63)</f>
        <v>84292</v>
      </c>
      <c r="M63" s="379"/>
      <c r="N63" s="379"/>
      <c r="O63" s="379"/>
      <c r="P63" s="379"/>
      <c r="Q63" s="379"/>
    </row>
    <row r="64" spans="1:27">
      <c r="A64" s="445" t="s">
        <v>484</v>
      </c>
      <c r="B64" s="617">
        <f>'UAT12-Dec'!B66</f>
        <v>0</v>
      </c>
      <c r="C64" s="617">
        <f>'UAT12-Dec'!C66</f>
        <v>0</v>
      </c>
      <c r="D64" s="617">
        <f>'UAT12-Dec'!D66</f>
        <v>0.5</v>
      </c>
      <c r="E64" s="617">
        <f>'UAT12-Dec'!E66</f>
        <v>0</v>
      </c>
      <c r="F64" s="617">
        <f>'UAT12-Dec'!F66</f>
        <v>0</v>
      </c>
      <c r="G64" s="617">
        <f>'UAT12-Dec'!G66</f>
        <v>0</v>
      </c>
      <c r="H64" s="617">
        <f>'UAT12-Dec'!H66</f>
        <v>0</v>
      </c>
      <c r="I64" s="617">
        <f>'UAT12-Dec'!I66</f>
        <v>0</v>
      </c>
      <c r="J64" s="617">
        <f>'UAT12-Dec'!J66</f>
        <v>0</v>
      </c>
      <c r="K64" s="619">
        <f>'UAT12-Dec'!K66</f>
        <v>0</v>
      </c>
      <c r="L64" s="618">
        <f>SUM(B64:K64)</f>
        <v>0.5</v>
      </c>
      <c r="M64" s="341"/>
      <c r="N64" s="341"/>
      <c r="O64" s="341"/>
      <c r="P64" s="341"/>
      <c r="Q64" s="341"/>
    </row>
    <row r="65" spans="1:27">
      <c r="A65" s="445" t="s">
        <v>587</v>
      </c>
      <c r="B65" s="332">
        <f>B92+'UAT12-Dec'!B67-'UAT7-Jul'!B105</f>
        <v>69360000</v>
      </c>
      <c r="C65" s="332">
        <f>C92+'UAT12-Dec'!C67</f>
        <v>57800000</v>
      </c>
      <c r="D65" s="332">
        <f>D92+'UAT12-Dec'!E67-'UAT7-Jul'!F105</f>
        <v>109460000</v>
      </c>
      <c r="E65" s="332">
        <f>E92+'UAT12-Dec'!F67-'UAT7-Jul'!G105</f>
        <v>0</v>
      </c>
      <c r="F65" s="332">
        <f>F92+'UAT12-Dec'!G67-'UAT7-Jul'!I105</f>
        <v>560059500</v>
      </c>
      <c r="G65" s="332">
        <f>G92+'UAT12-Dec'!H67-'UAT7-Jul'!J105</f>
        <v>442460000</v>
      </c>
      <c r="H65" s="332">
        <f>H92+'UAT12-Dec'!I67-'UAT7-Jul'!K105</f>
        <v>91460000</v>
      </c>
      <c r="I65" s="332">
        <f>I92+'UAT12-Dec'!J67-'UAT7-Jul'!L105</f>
        <v>82460000</v>
      </c>
      <c r="J65" s="332">
        <f>J92+'UAT12-Dec'!K67-'UAT7-Jul'!M105</f>
        <v>76460000</v>
      </c>
      <c r="K65" s="400">
        <f>K92+'UAT12-Dec'!L67-'UAT7-Jul'!O105</f>
        <v>0</v>
      </c>
      <c r="L65" s="346">
        <f>SUM(B65:K65)</f>
        <v>1489519500</v>
      </c>
      <c r="M65" s="341"/>
      <c r="N65" s="341"/>
      <c r="O65" s="341"/>
      <c r="P65" s="341"/>
      <c r="Q65" s="341"/>
      <c r="Z65" s="293"/>
    </row>
    <row r="66" spans="1:27">
      <c r="A66" s="445" t="s">
        <v>712</v>
      </c>
      <c r="B66" s="7">
        <v>0</v>
      </c>
      <c r="C66" s="7"/>
      <c r="D66" s="7"/>
      <c r="E66" s="7"/>
      <c r="F66" s="7"/>
      <c r="G66" s="7"/>
      <c r="H66" s="7"/>
      <c r="I66" s="7"/>
      <c r="J66" s="7">
        <v>0</v>
      </c>
      <c r="K66" s="12"/>
      <c r="L66" s="478">
        <f>SUM(B66:K66)</f>
        <v>0</v>
      </c>
      <c r="M66" s="341"/>
      <c r="N66" s="341"/>
      <c r="O66" s="341"/>
      <c r="P66" s="341"/>
      <c r="Q66" s="341"/>
      <c r="R66" s="160"/>
      <c r="Z66" s="293"/>
    </row>
    <row r="67" spans="1:27">
      <c r="A67" s="412"/>
      <c r="B67" s="331"/>
      <c r="C67" s="332"/>
      <c r="D67" s="332"/>
      <c r="E67" s="332"/>
      <c r="F67" s="332"/>
      <c r="G67" s="332"/>
      <c r="H67" s="340"/>
      <c r="I67" s="340"/>
      <c r="J67" s="340"/>
      <c r="K67" s="401"/>
      <c r="L67" s="346"/>
      <c r="M67" s="341"/>
      <c r="N67" s="341"/>
      <c r="O67" s="341"/>
      <c r="P67" s="341"/>
      <c r="Q67" s="341"/>
      <c r="Z67" s="293"/>
    </row>
    <row r="68" spans="1:27" ht="15.6">
      <c r="A68" s="411" t="s">
        <v>889</v>
      </c>
      <c r="B68" s="480"/>
      <c r="C68" s="480"/>
      <c r="D68" s="480"/>
      <c r="E68" s="480"/>
      <c r="F68" s="480"/>
      <c r="G68" s="590"/>
      <c r="H68" s="480"/>
      <c r="I68" s="480"/>
      <c r="J68" s="480"/>
      <c r="K68" s="588"/>
      <c r="L68" s="346"/>
      <c r="M68" s="481"/>
      <c r="N68" s="481"/>
      <c r="O68" s="379"/>
      <c r="P68" s="379"/>
      <c r="Q68" s="379"/>
      <c r="S68" s="160"/>
      <c r="T68" s="160"/>
      <c r="U68" s="160"/>
      <c r="V68" s="160"/>
      <c r="W68" s="160"/>
      <c r="X68" s="160"/>
      <c r="Y68" s="160"/>
      <c r="Z68" s="293"/>
    </row>
    <row r="69" spans="1:27">
      <c r="A69" s="474" t="s">
        <v>885</v>
      </c>
      <c r="B69" s="340">
        <f t="shared" ref="B69:K69" si="19">B77*B106</f>
        <v>3646166</v>
      </c>
      <c r="C69" s="340">
        <f t="shared" si="19"/>
        <v>1269240</v>
      </c>
      <c r="D69" s="340">
        <f t="shared" si="19"/>
        <v>5907712</v>
      </c>
      <c r="E69" s="340">
        <f t="shared" si="19"/>
        <v>0</v>
      </c>
      <c r="F69" s="340">
        <f t="shared" si="19"/>
        <v>0</v>
      </c>
      <c r="G69" s="340">
        <f t="shared" si="19"/>
        <v>6980776</v>
      </c>
      <c r="H69" s="340">
        <f t="shared" si="19"/>
        <v>4615360</v>
      </c>
      <c r="I69" s="340">
        <f t="shared" si="19"/>
        <v>5307680</v>
      </c>
      <c r="J69" s="340">
        <f t="shared" si="19"/>
        <v>3062621.1098499997</v>
      </c>
      <c r="K69" s="401">
        <f t="shared" si="19"/>
        <v>0</v>
      </c>
      <c r="L69" s="346">
        <f t="shared" ref="L69:L74" si="20">SUM(B69:K69)-G69</f>
        <v>23808779.109850001</v>
      </c>
      <c r="Z69" s="293"/>
    </row>
    <row r="70" spans="1:27">
      <c r="A70" s="474" t="s">
        <v>886</v>
      </c>
      <c r="B70" s="340">
        <f t="shared" ref="B70:K70" si="21">B77*B105</f>
        <v>6923100</v>
      </c>
      <c r="C70" s="340">
        <f t="shared" si="21"/>
        <v>2538480</v>
      </c>
      <c r="D70" s="340">
        <f t="shared" si="21"/>
        <v>0</v>
      </c>
      <c r="E70" s="340">
        <f t="shared" si="21"/>
        <v>0</v>
      </c>
      <c r="F70" s="340">
        <f t="shared" si="21"/>
        <v>0</v>
      </c>
      <c r="G70" s="340">
        <f t="shared" si="21"/>
        <v>13961552</v>
      </c>
      <c r="H70" s="340">
        <f t="shared" si="21"/>
        <v>9230720</v>
      </c>
      <c r="I70" s="340">
        <f t="shared" si="21"/>
        <v>10615360</v>
      </c>
      <c r="J70" s="340">
        <f t="shared" si="21"/>
        <v>6125241.4119999986</v>
      </c>
      <c r="K70" s="401">
        <f t="shared" si="21"/>
        <v>0</v>
      </c>
      <c r="L70" s="346">
        <f t="shared" si="20"/>
        <v>35432901.412</v>
      </c>
    </row>
    <row r="71" spans="1:27">
      <c r="A71" s="474" t="s">
        <v>928</v>
      </c>
      <c r="B71" s="340">
        <f t="shared" ref="B71:H71" si="22">IF(OR(B20="A",B20="B"),ROUND(B139/12,0),ROUND(B139*$B$4/12,0))</f>
        <v>666667</v>
      </c>
      <c r="C71" s="340">
        <f t="shared" si="22"/>
        <v>916667</v>
      </c>
      <c r="D71" s="340">
        <f t="shared" si="22"/>
        <v>1333333</v>
      </c>
      <c r="E71" s="340">
        <f t="shared" si="22"/>
        <v>0</v>
      </c>
      <c r="F71" s="340">
        <f t="shared" si="22"/>
        <v>8190000</v>
      </c>
      <c r="G71" s="340">
        <f t="shared" si="22"/>
        <v>4583333</v>
      </c>
      <c r="H71" s="340">
        <f t="shared" si="22"/>
        <v>833333</v>
      </c>
      <c r="I71" s="340">
        <f>ROUND(I139/12,0)</f>
        <v>958333</v>
      </c>
      <c r="J71" s="340">
        <f>IF(OR(J20="A",J20="B"),ROUND(J139/12,0),ROUND(J139*$B$4/12,0))</f>
        <v>583333</v>
      </c>
      <c r="K71" s="401">
        <f>IF(OR(K20="A",K20="B"),ROUND(K139/12,0),ROUND(K139*$B$4/12,0))</f>
        <v>0</v>
      </c>
      <c r="L71" s="346">
        <f t="shared" si="20"/>
        <v>13481666</v>
      </c>
      <c r="M71" s="341"/>
      <c r="N71" s="482"/>
      <c r="O71" s="341"/>
      <c r="P71" s="341"/>
      <c r="Q71" s="341"/>
    </row>
    <row r="72" spans="1:27">
      <c r="A72" s="474" t="s">
        <v>929</v>
      </c>
      <c r="B72" s="340" t="e">
        <f>'UAT12-Dec'!B73*-1</f>
        <v>#REF!</v>
      </c>
      <c r="C72" s="340">
        <f>'UAT12-Dec'!C73*-1</f>
        <v>-2750001</v>
      </c>
      <c r="D72" s="340" t="e">
        <f>'UAT12-Dec'!E73*-1</f>
        <v>#REF!</v>
      </c>
      <c r="E72" s="340" t="e">
        <f>'UAT12-Dec'!F73*-1</f>
        <v>#REF!</v>
      </c>
      <c r="F72" s="340" t="e">
        <f>'UAT12-Dec'!G73*-1</f>
        <v>#REF!</v>
      </c>
      <c r="G72" s="340" t="e">
        <f>'UAT12-Dec'!H73*-1</f>
        <v>#REF!</v>
      </c>
      <c r="H72" s="340" t="e">
        <f>'UAT12-Dec'!I73*-1</f>
        <v>#REF!</v>
      </c>
      <c r="I72" s="340" t="e">
        <f>'UAT12-Dec'!J73*-1</f>
        <v>#REF!</v>
      </c>
      <c r="J72" s="340" t="e">
        <f>'UAT12-Dec'!K73*-1</f>
        <v>#REF!</v>
      </c>
      <c r="K72" s="401" t="e">
        <f>'UAT12-Dec'!L73*-1</f>
        <v>#REF!</v>
      </c>
      <c r="L72" s="346" t="e">
        <f t="shared" si="20"/>
        <v>#REF!</v>
      </c>
      <c r="M72" s="341"/>
      <c r="N72" s="482"/>
      <c r="O72" s="341"/>
      <c r="P72" s="341"/>
      <c r="Q72" s="341"/>
    </row>
    <row r="73" spans="1:27">
      <c r="A73" s="474" t="s">
        <v>887</v>
      </c>
      <c r="B73" s="340"/>
      <c r="C73" s="340"/>
      <c r="D73" s="340"/>
      <c r="E73" s="340"/>
      <c r="F73" s="340"/>
      <c r="G73" s="453"/>
      <c r="H73" s="340"/>
      <c r="I73" s="340"/>
      <c r="J73" s="340"/>
      <c r="K73" s="401"/>
      <c r="L73" s="346">
        <f t="shared" si="20"/>
        <v>0</v>
      </c>
      <c r="M73" s="537"/>
      <c r="N73" s="537"/>
      <c r="O73" s="537"/>
      <c r="P73" s="537"/>
      <c r="Q73" s="537"/>
    </row>
    <row r="74" spans="1:27">
      <c r="A74" s="474" t="s">
        <v>888</v>
      </c>
      <c r="B74" s="340">
        <f t="shared" ref="B74:K74" si="23">IF(OR(B20="A",B20="B"),ROUND(B64*B126*50%,0),ROUND(B64*B126*$B$4*50%,0))</f>
        <v>0</v>
      </c>
      <c r="C74" s="340">
        <f t="shared" si="23"/>
        <v>0</v>
      </c>
      <c r="D74" s="340">
        <f t="shared" si="23"/>
        <v>4000000</v>
      </c>
      <c r="E74" s="340">
        <f t="shared" si="23"/>
        <v>0</v>
      </c>
      <c r="F74" s="340">
        <f t="shared" si="23"/>
        <v>0</v>
      </c>
      <c r="G74" s="340">
        <f t="shared" si="23"/>
        <v>0</v>
      </c>
      <c r="H74" s="340">
        <f t="shared" si="23"/>
        <v>0</v>
      </c>
      <c r="I74" s="340">
        <f t="shared" si="23"/>
        <v>0</v>
      </c>
      <c r="J74" s="340">
        <f t="shared" si="23"/>
        <v>0</v>
      </c>
      <c r="K74" s="401">
        <f t="shared" si="23"/>
        <v>0</v>
      </c>
      <c r="L74" s="346">
        <f t="shared" si="20"/>
        <v>4000000</v>
      </c>
      <c r="M74" s="347"/>
      <c r="N74" s="380"/>
      <c r="O74" s="380"/>
      <c r="P74" s="380"/>
      <c r="Q74" s="380"/>
    </row>
    <row r="75" spans="1:27">
      <c r="A75" s="412"/>
      <c r="B75" s="331"/>
      <c r="C75" s="332"/>
      <c r="D75" s="332"/>
      <c r="E75" s="332"/>
      <c r="F75" s="332"/>
      <c r="G75" s="332"/>
      <c r="H75" s="340"/>
      <c r="I75" s="340"/>
      <c r="J75" s="340"/>
      <c r="K75" s="401"/>
      <c r="L75" s="346"/>
      <c r="M75" s="347"/>
      <c r="N75" s="347"/>
      <c r="O75" s="347"/>
      <c r="P75" s="347"/>
      <c r="Q75" s="347"/>
    </row>
    <row r="76" spans="1:27" ht="15.6">
      <c r="A76" s="411" t="s">
        <v>485</v>
      </c>
      <c r="B76" s="331"/>
      <c r="C76" s="332"/>
      <c r="D76" s="332"/>
      <c r="E76" s="332"/>
      <c r="F76" s="332"/>
      <c r="G76" s="332"/>
      <c r="H76" s="340"/>
      <c r="I76" s="340"/>
      <c r="J76" s="340"/>
      <c r="K76" s="401"/>
      <c r="L76" s="346"/>
      <c r="M76" s="347"/>
      <c r="N76" s="347"/>
      <c r="O76" s="347"/>
      <c r="P76" s="347"/>
      <c r="Q76" s="347"/>
    </row>
    <row r="77" spans="1:27">
      <c r="A77" s="445" t="s">
        <v>490</v>
      </c>
      <c r="B77" s="332">
        <f t="shared" ref="B77:H77" si="24">IF(OR(B20="A",B20="B"),IF(B12&lt;&gt;"C",ROUND(B126*12/52/40,0),B127),IF(B12&lt;&gt;"C",ROUND(B126*$B$4*12/52/40,0),B127*$B$4))</f>
        <v>46154</v>
      </c>
      <c r="C77" s="332">
        <f t="shared" si="24"/>
        <v>63462</v>
      </c>
      <c r="D77" s="332">
        <f t="shared" si="24"/>
        <v>92308</v>
      </c>
      <c r="E77" s="332">
        <f t="shared" si="24"/>
        <v>6300000</v>
      </c>
      <c r="F77" s="332">
        <f t="shared" si="24"/>
        <v>610615</v>
      </c>
      <c r="G77" s="332">
        <f t="shared" si="24"/>
        <v>317308</v>
      </c>
      <c r="H77" s="332">
        <f t="shared" si="24"/>
        <v>57692</v>
      </c>
      <c r="I77" s="332">
        <f>ROUND(I126*12/52/40,0)</f>
        <v>66346</v>
      </c>
      <c r="J77" s="332">
        <f>IF(OR(J20="A",J20="B"),IF(J12&lt;&gt;"C",ROUND(J126*12/52/40,0),J127),IF(J12&lt;&gt;"C",ROUND(J126*$B$4*12/52/40,0),J127*$B$4))</f>
        <v>40385</v>
      </c>
      <c r="K77" s="400">
        <f>IF(OR(K20="A",K20="B"),IF(K12&lt;&gt;"C",ROUND(K126*12/52/40,0),K127),IF(K12&lt;&gt;"C",ROUND(K126*$B$4*12/52/40,0),K127*$B$4))</f>
        <v>900000</v>
      </c>
      <c r="L77" s="346">
        <f t="shared" ref="L77:L85" si="25">SUM(B77:K77)</f>
        <v>8494270</v>
      </c>
      <c r="M77" s="347"/>
      <c r="N77" s="347"/>
      <c r="O77" s="347"/>
      <c r="P77" s="347"/>
      <c r="Q77" s="347"/>
    </row>
    <row r="78" spans="1:27">
      <c r="A78" s="445" t="s">
        <v>501</v>
      </c>
      <c r="B78" s="332">
        <f t="shared" ref="B78:H78" si="26">IF(OR(B20="A",B20="B"),ROUND(SUM(B126,B128,B129,B131)*12/52/5*B14%,0),ROUND(SUM(B126,B128,B129,B131)*12/52/5*$B$4*B14%,0))</f>
        <v>480000</v>
      </c>
      <c r="C78" s="332">
        <f t="shared" si="26"/>
        <v>666923</v>
      </c>
      <c r="D78" s="332">
        <f t="shared" si="26"/>
        <v>738462</v>
      </c>
      <c r="E78" s="332">
        <f t="shared" si="26"/>
        <v>0</v>
      </c>
      <c r="F78" s="332">
        <f t="shared" si="26"/>
        <v>4884923</v>
      </c>
      <c r="G78" s="332">
        <f t="shared" si="26"/>
        <v>1650000</v>
      </c>
      <c r="H78" s="332">
        <f t="shared" si="26"/>
        <v>600000</v>
      </c>
      <c r="I78" s="332">
        <f>ROUND(SUM(I126,I128,I129,I131)*12/52/5*I14%,0)</f>
        <v>530769</v>
      </c>
      <c r="J78" s="332">
        <f>IF(OR(J20="A",J20="B"),ROUND(SUM(J126,J128,J129,J131)*12/52/5*J14%,0),ROUND(SUM(J126,J128,J129,J131)*12/52/5*$B$4*J14%,0))</f>
        <v>484615</v>
      </c>
      <c r="K78" s="400">
        <f>IF(OR(K20="A",K20="B"),ROUND(SUM(K126,K128,K129,K131)*12/52/5*K14%,0),ROUND(SUM(K126,K128,K129,K131)*12/52/5*$B$4*K14%,0))</f>
        <v>0</v>
      </c>
      <c r="L78" s="346">
        <f t="shared" si="25"/>
        <v>10035692</v>
      </c>
      <c r="M78" s="347"/>
      <c r="N78" s="347"/>
      <c r="O78" s="347"/>
      <c r="P78" s="347"/>
      <c r="Q78" s="347"/>
    </row>
    <row r="79" spans="1:27">
      <c r="A79" s="445" t="s">
        <v>502</v>
      </c>
      <c r="B79" s="332">
        <f t="shared" ref="B79:H79" si="27">IF(OR(B20="A",B20="B"),ROUND(B126/B17,0),ROUND(B126*$B$4/B17,0))</f>
        <v>347826</v>
      </c>
      <c r="C79" s="332">
        <f t="shared" si="27"/>
        <v>478261</v>
      </c>
      <c r="D79" s="332">
        <f t="shared" si="27"/>
        <v>695652</v>
      </c>
      <c r="E79" s="332">
        <f t="shared" si="27"/>
        <v>0</v>
      </c>
      <c r="F79" s="332">
        <f t="shared" si="27"/>
        <v>4601739</v>
      </c>
      <c r="G79" s="332">
        <f t="shared" si="27"/>
        <v>2391304</v>
      </c>
      <c r="H79" s="332">
        <f t="shared" si="27"/>
        <v>434783</v>
      </c>
      <c r="I79" s="332">
        <f>ROUND(I126/I17,0)</f>
        <v>500000</v>
      </c>
      <c r="J79" s="332">
        <f>IF(OR(J20="A",J20="B"),ROUND(J126/J17,0),ROUND(J126*$B$4/J17,0))</f>
        <v>304348</v>
      </c>
      <c r="K79" s="400">
        <f>IF(OR(K20="A",K20="B"),ROUND(K126/K17,0),ROUND(K126*$B$4/K17,0))</f>
        <v>0</v>
      </c>
      <c r="L79" s="346">
        <f t="shared" si="25"/>
        <v>9753913</v>
      </c>
      <c r="M79" s="347"/>
      <c r="N79" s="347"/>
      <c r="O79" s="347"/>
      <c r="P79" s="347"/>
      <c r="Q79" s="347"/>
    </row>
    <row r="80" spans="1:27" s="5" customFormat="1">
      <c r="A80" s="445" t="s">
        <v>628</v>
      </c>
      <c r="B80" s="332">
        <f t="shared" ref="B80:K80" si="28">IF(OR(B20="A",B20="B"),ROUND(SUM(B128,B129,B130,B132:B134)/B17,0),ROUND(SUM(B128,B129,B130,B132:B134)*$B$4/B17,0))</f>
        <v>104348</v>
      </c>
      <c r="C80" s="332">
        <f t="shared" si="28"/>
        <v>150000</v>
      </c>
      <c r="D80" s="332">
        <f t="shared" si="28"/>
        <v>0</v>
      </c>
      <c r="E80" s="332">
        <f t="shared" si="28"/>
        <v>0</v>
      </c>
      <c r="F80" s="332">
        <f t="shared" si="28"/>
        <v>0</v>
      </c>
      <c r="G80" s="332">
        <f t="shared" si="28"/>
        <v>717391</v>
      </c>
      <c r="H80" s="332">
        <f t="shared" si="28"/>
        <v>130435</v>
      </c>
      <c r="I80" s="332">
        <f t="shared" si="28"/>
        <v>0</v>
      </c>
      <c r="J80" s="332">
        <f t="shared" si="28"/>
        <v>152174</v>
      </c>
      <c r="K80" s="400">
        <f t="shared" si="28"/>
        <v>0</v>
      </c>
      <c r="L80" s="346">
        <f t="shared" si="25"/>
        <v>1254348</v>
      </c>
      <c r="M80" s="347"/>
      <c r="N80" s="347"/>
      <c r="O80" s="347"/>
      <c r="P80" s="347"/>
      <c r="Q80" s="347"/>
      <c r="Z80"/>
      <c r="AA80"/>
    </row>
    <row r="81" spans="1:27" s="5" customFormat="1">
      <c r="A81" s="445" t="s">
        <v>503</v>
      </c>
      <c r="B81" s="7">
        <f t="shared" ref="B81:K81" si="29">B15/B17*100%</f>
        <v>1</v>
      </c>
      <c r="C81" s="7">
        <f t="shared" si="29"/>
        <v>1</v>
      </c>
      <c r="D81" s="7">
        <f t="shared" si="29"/>
        <v>1</v>
      </c>
      <c r="E81" s="7">
        <f t="shared" si="29"/>
        <v>1</v>
      </c>
      <c r="F81" s="7">
        <f t="shared" si="29"/>
        <v>1</v>
      </c>
      <c r="G81" s="7">
        <f t="shared" si="29"/>
        <v>0.56521739130434778</v>
      </c>
      <c r="H81" s="7">
        <f t="shared" si="29"/>
        <v>1</v>
      </c>
      <c r="I81" s="7">
        <f t="shared" si="29"/>
        <v>1</v>
      </c>
      <c r="J81" s="7">
        <f t="shared" si="29"/>
        <v>1</v>
      </c>
      <c r="K81" s="12">
        <f t="shared" si="29"/>
        <v>1</v>
      </c>
      <c r="L81" s="478">
        <f t="shared" si="25"/>
        <v>9.5652173913043477</v>
      </c>
      <c r="M81" s="347"/>
      <c r="N81" s="347"/>
      <c r="O81" s="347"/>
      <c r="P81" s="347"/>
      <c r="Q81" s="347"/>
      <c r="Z81"/>
      <c r="AA81"/>
    </row>
    <row r="82" spans="1:27" s="5" customFormat="1">
      <c r="A82" s="445" t="s">
        <v>504</v>
      </c>
      <c r="B82" s="7">
        <f t="shared" ref="B82:K82" si="30">(B15-B135)/262*100%</f>
        <v>8.7786259541984726E-2</v>
      </c>
      <c r="C82" s="7">
        <f t="shared" si="30"/>
        <v>8.7786259541984726E-2</v>
      </c>
      <c r="D82" s="7">
        <f t="shared" si="30"/>
        <v>8.7786259541984726E-2</v>
      </c>
      <c r="E82" s="7">
        <f t="shared" si="30"/>
        <v>8.7786259541984726E-2</v>
      </c>
      <c r="F82" s="7">
        <f t="shared" si="30"/>
        <v>8.7786259541984726E-2</v>
      </c>
      <c r="G82" s="7">
        <f t="shared" si="30"/>
        <v>4.9618320610687022E-2</v>
      </c>
      <c r="H82" s="7">
        <f t="shared" si="30"/>
        <v>8.7786259541984726E-2</v>
      </c>
      <c r="I82" s="7">
        <f t="shared" si="30"/>
        <v>8.7786259541984726E-2</v>
      </c>
      <c r="J82" s="7">
        <f t="shared" si="30"/>
        <v>8.7786259541984726E-2</v>
      </c>
      <c r="K82" s="7">
        <f t="shared" si="30"/>
        <v>8.7786259541984726E-2</v>
      </c>
      <c r="L82" s="478">
        <f t="shared" si="25"/>
        <v>0.83969465648854946</v>
      </c>
      <c r="M82" s="537"/>
      <c r="N82" s="537"/>
      <c r="O82" s="537"/>
      <c r="P82" s="537"/>
      <c r="Q82" s="537"/>
      <c r="Z82"/>
      <c r="AA82"/>
    </row>
    <row r="83" spans="1:27" s="5" customFormat="1">
      <c r="A83" s="445" t="s">
        <v>505</v>
      </c>
      <c r="B83" s="7">
        <f t="shared" ref="B83:K83" si="31">B136/B17*100%</f>
        <v>0</v>
      </c>
      <c r="C83" s="7">
        <f t="shared" si="31"/>
        <v>0</v>
      </c>
      <c r="D83" s="7">
        <f t="shared" si="31"/>
        <v>0</v>
      </c>
      <c r="E83" s="7">
        <f t="shared" si="31"/>
        <v>0</v>
      </c>
      <c r="F83" s="7">
        <f t="shared" si="31"/>
        <v>0</v>
      </c>
      <c r="G83" s="7">
        <f t="shared" si="31"/>
        <v>0</v>
      </c>
      <c r="H83" s="7">
        <f t="shared" si="31"/>
        <v>0</v>
      </c>
      <c r="I83" s="7">
        <f t="shared" si="31"/>
        <v>0</v>
      </c>
      <c r="J83" s="7">
        <f t="shared" si="31"/>
        <v>0</v>
      </c>
      <c r="K83" s="12">
        <f t="shared" si="31"/>
        <v>0</v>
      </c>
      <c r="L83" s="478">
        <f t="shared" si="25"/>
        <v>0</v>
      </c>
      <c r="M83"/>
      <c r="N83" s="347"/>
      <c r="O83" s="347"/>
      <c r="P83" s="347"/>
      <c r="Q83" s="347"/>
      <c r="Z83"/>
      <c r="AA83"/>
    </row>
    <row r="84" spans="1:27" s="5" customFormat="1">
      <c r="A84" s="451" t="s">
        <v>494</v>
      </c>
      <c r="B84" s="332">
        <f>ROUND(W26*B18/366,0)</f>
        <v>677596</v>
      </c>
      <c r="D84" s="332">
        <f>ROUND(W29*D18/366,0)</f>
        <v>677596</v>
      </c>
      <c r="E84" s="368">
        <f>ROUND(W30*E18/366,0)</f>
        <v>677596</v>
      </c>
      <c r="F84" s="332"/>
      <c r="G84" s="332"/>
      <c r="H84" s="340"/>
      <c r="I84" s="340"/>
      <c r="J84" s="340"/>
      <c r="K84" s="401"/>
      <c r="L84" s="346">
        <f t="shared" si="25"/>
        <v>2032788</v>
      </c>
      <c r="M84"/>
      <c r="N84" s="347"/>
      <c r="O84" s="347"/>
      <c r="P84" s="347"/>
      <c r="Q84" s="347"/>
      <c r="Z84"/>
      <c r="AA84"/>
    </row>
    <row r="85" spans="1:27" s="5" customFormat="1">
      <c r="A85" s="445" t="s">
        <v>536</v>
      </c>
      <c r="B85" s="332">
        <f>ROUND(W31*B18/366,0)</f>
        <v>592896</v>
      </c>
      <c r="D85" s="332">
        <f>ROUND(W34*D18/366,0)</f>
        <v>592896</v>
      </c>
      <c r="E85" s="332">
        <f>ROUND(W35*E18/366,0)</f>
        <v>592896</v>
      </c>
      <c r="F85" s="332"/>
      <c r="G85" s="332"/>
      <c r="H85" s="332"/>
      <c r="I85" s="332"/>
      <c r="J85" s="332"/>
      <c r="K85" s="400"/>
      <c r="L85" s="346">
        <f t="shared" si="25"/>
        <v>1778688</v>
      </c>
      <c r="M85"/>
      <c r="N85"/>
      <c r="O85"/>
      <c r="P85"/>
      <c r="Q85"/>
      <c r="Z85"/>
      <c r="AA85"/>
    </row>
    <row r="86" spans="1:27" s="5" customFormat="1">
      <c r="A86" s="412" t="s">
        <v>613</v>
      </c>
      <c r="B86" s="402"/>
      <c r="C86" s="332"/>
      <c r="D86" s="332"/>
      <c r="E86" s="332"/>
      <c r="F86" s="332">
        <f>W37*B4</f>
        <v>2520000</v>
      </c>
      <c r="G86" s="332"/>
      <c r="H86" s="340"/>
      <c r="I86" s="340"/>
      <c r="J86" s="340"/>
      <c r="K86" s="401"/>
      <c r="L86" s="355">
        <f>SUM(C86:K86)</f>
        <v>2520000</v>
      </c>
      <c r="M86" s="379"/>
      <c r="N86" s="379"/>
      <c r="O86" s="379"/>
      <c r="P86" s="379"/>
      <c r="Q86" s="379"/>
      <c r="Z86"/>
      <c r="AA86"/>
    </row>
    <row r="87" spans="1:27" s="5" customFormat="1">
      <c r="A87" s="412" t="s">
        <v>614</v>
      </c>
      <c r="B87" s="402"/>
      <c r="C87" s="332"/>
      <c r="D87" s="332"/>
      <c r="E87" s="332"/>
      <c r="F87" s="332">
        <f>W39*B4</f>
        <v>5040000</v>
      </c>
      <c r="G87" s="332"/>
      <c r="H87" s="340"/>
      <c r="I87" s="340"/>
      <c r="J87" s="340"/>
      <c r="K87" s="401"/>
      <c r="L87" s="355">
        <f>SUM(C87:K87)</f>
        <v>5040000</v>
      </c>
      <c r="M87"/>
      <c r="N87"/>
      <c r="O87"/>
      <c r="P87"/>
      <c r="Q87"/>
      <c r="Z87"/>
      <c r="AA87"/>
    </row>
    <row r="88" spans="1:27" s="5" customFormat="1">
      <c r="A88" s="412"/>
      <c r="B88" s="331"/>
      <c r="C88" s="332"/>
      <c r="D88" s="332"/>
      <c r="E88" s="332"/>
      <c r="F88" s="332"/>
      <c r="G88" s="332"/>
      <c r="H88" s="340"/>
      <c r="I88" s="340"/>
      <c r="J88" s="340"/>
      <c r="K88" s="401"/>
      <c r="L88" s="346"/>
      <c r="M88"/>
      <c r="N88"/>
      <c r="O88"/>
      <c r="P88"/>
      <c r="Q88"/>
      <c r="Z88"/>
      <c r="AA88"/>
    </row>
    <row r="89" spans="1:27" s="5" customFormat="1">
      <c r="A89" s="412" t="s">
        <v>579</v>
      </c>
      <c r="B89" s="331">
        <f t="shared" ref="B89:K89" si="32">SUM(B26:B34)</f>
        <v>17806660</v>
      </c>
      <c r="C89" s="332">
        <f t="shared" si="32"/>
        <v>14450000</v>
      </c>
      <c r="D89" s="332">
        <f t="shared" si="32"/>
        <v>16000000</v>
      </c>
      <c r="E89" s="332">
        <f t="shared" si="32"/>
        <v>31500000</v>
      </c>
      <c r="F89" s="332">
        <f t="shared" si="32"/>
        <v>98280000</v>
      </c>
      <c r="G89" s="332">
        <f t="shared" si="32"/>
        <v>87696037</v>
      </c>
      <c r="H89" s="332">
        <f t="shared" si="32"/>
        <v>22113188</v>
      </c>
      <c r="I89" s="332">
        <f t="shared" si="32"/>
        <v>55634452</v>
      </c>
      <c r="J89" s="332">
        <f t="shared" si="32"/>
        <v>5727273</v>
      </c>
      <c r="K89" s="400">
        <f t="shared" si="32"/>
        <v>6017242</v>
      </c>
      <c r="L89" s="346">
        <f t="shared" ref="L89:L102" si="33">SUM(B89:K89)</f>
        <v>355224852</v>
      </c>
      <c r="M89"/>
      <c r="N89"/>
      <c r="O89"/>
      <c r="P89"/>
      <c r="Q89"/>
      <c r="Z89"/>
      <c r="AA89"/>
    </row>
    <row r="90" spans="1:27" s="5" customFormat="1">
      <c r="A90" s="445" t="s">
        <v>580</v>
      </c>
      <c r="B90" s="332">
        <f t="shared" ref="B90:K90" si="34">SUM(B26:B32,B36,B37)</f>
        <v>12578316</v>
      </c>
      <c r="C90" s="332">
        <f t="shared" si="34"/>
        <v>14450000</v>
      </c>
      <c r="D90" s="332">
        <f t="shared" si="34"/>
        <v>16677596</v>
      </c>
      <c r="E90" s="332">
        <f t="shared" si="34"/>
        <v>32177596</v>
      </c>
      <c r="F90" s="332">
        <f t="shared" si="34"/>
        <v>98280000</v>
      </c>
      <c r="G90" s="332">
        <f t="shared" si="34"/>
        <v>40413044</v>
      </c>
      <c r="H90" s="332">
        <f t="shared" si="34"/>
        <v>13000000</v>
      </c>
      <c r="I90" s="332">
        <f t="shared" si="34"/>
        <v>11500000</v>
      </c>
      <c r="J90" s="332">
        <f t="shared" si="34"/>
        <v>5727273</v>
      </c>
      <c r="K90" s="332">
        <f t="shared" si="34"/>
        <v>4500000</v>
      </c>
      <c r="L90" s="346">
        <f t="shared" si="33"/>
        <v>249303825</v>
      </c>
      <c r="M90"/>
      <c r="N90"/>
      <c r="O90"/>
      <c r="P90"/>
      <c r="Q90"/>
      <c r="Z90"/>
      <c r="AA90"/>
    </row>
    <row r="91" spans="1:27" s="5" customFormat="1">
      <c r="A91" s="445" t="s">
        <v>581</v>
      </c>
      <c r="B91" s="332">
        <f t="shared" ref="B91:H91" si="35">IF(B16&lt;B17/2,0,IF(OR(B20="A",B20="B"),SUM(B126,B128,B129,B131),B140))</f>
        <v>10400000</v>
      </c>
      <c r="C91" s="332">
        <f t="shared" si="35"/>
        <v>14450000</v>
      </c>
      <c r="D91" s="332">
        <f t="shared" si="35"/>
        <v>16000000</v>
      </c>
      <c r="E91" s="332">
        <f t="shared" si="35"/>
        <v>0</v>
      </c>
      <c r="F91" s="332">
        <f t="shared" si="35"/>
        <v>91650000</v>
      </c>
      <c r="G91" s="332">
        <f t="shared" si="35"/>
        <v>71500000</v>
      </c>
      <c r="H91" s="332">
        <f t="shared" si="35"/>
        <v>13000000</v>
      </c>
      <c r="I91" s="332">
        <f>SUM(I126,I128,I129,I131)</f>
        <v>11500000</v>
      </c>
      <c r="J91" s="332">
        <f>IF(J16&lt;J17/2,0,IF(OR(J20="A",J20="B"),SUM(J126,J128,J129,J131),J140))</f>
        <v>10500000</v>
      </c>
      <c r="K91" s="400">
        <f>IF(K16&lt;K17/2,0,IF(OR(K20="A",K20="B"),SUM(K126,K128,K129,K131),K140))</f>
        <v>0</v>
      </c>
      <c r="L91" s="346">
        <f t="shared" si="33"/>
        <v>239000000</v>
      </c>
      <c r="M91"/>
      <c r="N91"/>
      <c r="O91"/>
      <c r="P91"/>
      <c r="Q91"/>
      <c r="Z91"/>
      <c r="AA91"/>
    </row>
    <row r="92" spans="1:27" s="5" customFormat="1">
      <c r="A92" s="412" t="s">
        <v>586</v>
      </c>
      <c r="B92" s="332">
        <f t="shared" ref="B92:H92" si="36">IF(OR(B20="A",B20="B"),SUM(B139,B128,B129,B132,B133,B131),SUM(B139,B131)*$B$4)</f>
        <v>10400000</v>
      </c>
      <c r="C92" s="332">
        <f t="shared" si="36"/>
        <v>14450000</v>
      </c>
      <c r="D92" s="332">
        <f t="shared" si="36"/>
        <v>16000000</v>
      </c>
      <c r="E92" s="332">
        <f t="shared" si="36"/>
        <v>0</v>
      </c>
      <c r="F92" s="332">
        <f t="shared" si="36"/>
        <v>98280000</v>
      </c>
      <c r="G92" s="332">
        <f t="shared" si="36"/>
        <v>71500000</v>
      </c>
      <c r="H92" s="332">
        <f t="shared" si="36"/>
        <v>13000000</v>
      </c>
      <c r="I92" s="332">
        <f>SUM(I139,I128,I129,I132,I133,I131)</f>
        <v>11500000</v>
      </c>
      <c r="J92" s="332">
        <f>IF(OR(J20="A",J20="B"),SUM(J139,J128,J129,J132,J133,J131),SUM(J139,J131)*$B$4)</f>
        <v>10500000</v>
      </c>
      <c r="K92" s="400">
        <f>IF(OR(K20="A",K20="B"),SUM(K139,K128,K129,K132,K133,K131),SUM(K139,K131)*$B$4)</f>
        <v>0</v>
      </c>
      <c r="L92" s="346">
        <f t="shared" si="33"/>
        <v>245630000</v>
      </c>
      <c r="M92"/>
      <c r="N92"/>
      <c r="O92"/>
      <c r="P92"/>
      <c r="Q92"/>
      <c r="Z92"/>
      <c r="AA92"/>
    </row>
    <row r="93" spans="1:27" s="5" customFormat="1">
      <c r="A93" s="412" t="s">
        <v>483</v>
      </c>
      <c r="B93" s="332">
        <f>ROUND('UAT12-Dec'!B67/6,0)</f>
        <v>11343333</v>
      </c>
      <c r="C93" s="332">
        <f>ROUND('UAT12-Dec'!C67/3,0)</f>
        <v>14450000</v>
      </c>
      <c r="D93" s="332">
        <f>ROUND('UAT12-Dec'!E67/6,0)</f>
        <v>18243333</v>
      </c>
      <c r="E93" s="332">
        <f>ROUND('UAT12-Dec'!F67/6,0)</f>
        <v>0</v>
      </c>
      <c r="F93" s="332">
        <f>ROUND('UAT12-Dec'!G67/6,0)</f>
        <v>92046500</v>
      </c>
      <c r="G93" s="332">
        <f>ROUND('UAT12-Dec'!H67/6,0)</f>
        <v>73743333</v>
      </c>
      <c r="H93" s="332">
        <f>ROUND('UAT12-Dec'!I67/6,0)</f>
        <v>15243333</v>
      </c>
      <c r="I93" s="332">
        <f>ROUND('UAT12-Dec'!J67/6,0)</f>
        <v>13743333</v>
      </c>
      <c r="J93" s="332">
        <f>ROUND('UAT12-Dec'!K67/6,0)</f>
        <v>12743333</v>
      </c>
      <c r="K93" s="400">
        <f>ROUND('UAT12-Dec'!L67/6,0)</f>
        <v>1000000</v>
      </c>
      <c r="L93" s="346">
        <f t="shared" si="33"/>
        <v>252556498</v>
      </c>
      <c r="M93"/>
      <c r="N93"/>
      <c r="O93"/>
      <c r="P93"/>
      <c r="Q93"/>
      <c r="Z93"/>
      <c r="AA93"/>
    </row>
    <row r="94" spans="1:27" s="5" customFormat="1">
      <c r="A94" s="445" t="s">
        <v>486</v>
      </c>
      <c r="B94" s="332">
        <f>B90</f>
        <v>12578316</v>
      </c>
      <c r="C94" s="332">
        <f t="shared" ref="C94:K94" si="37">C90</f>
        <v>14450000</v>
      </c>
      <c r="D94" s="332">
        <f t="shared" si="37"/>
        <v>16677596</v>
      </c>
      <c r="E94" s="332">
        <f t="shared" si="37"/>
        <v>32177596</v>
      </c>
      <c r="F94" s="332">
        <f t="shared" si="37"/>
        <v>98280000</v>
      </c>
      <c r="G94" s="332">
        <f t="shared" si="37"/>
        <v>40413044</v>
      </c>
      <c r="H94" s="332">
        <f t="shared" si="37"/>
        <v>13000000</v>
      </c>
      <c r="I94" s="332">
        <f t="shared" si="37"/>
        <v>11500000</v>
      </c>
      <c r="J94" s="332">
        <f t="shared" si="37"/>
        <v>5727273</v>
      </c>
      <c r="K94" s="400">
        <f t="shared" si="37"/>
        <v>4500000</v>
      </c>
      <c r="L94" s="346">
        <f t="shared" si="33"/>
        <v>249303825</v>
      </c>
      <c r="M94"/>
      <c r="N94"/>
      <c r="O94"/>
      <c r="P94"/>
      <c r="Q94"/>
      <c r="Z94"/>
      <c r="AA94"/>
    </row>
    <row r="95" spans="1:27" s="5" customFormat="1">
      <c r="A95" s="445" t="s">
        <v>607</v>
      </c>
      <c r="B95" s="332">
        <f t="shared" ref="B95:K95" si="38">SUM(B43:B45)</f>
        <v>1092000</v>
      </c>
      <c r="C95" s="332">
        <f t="shared" si="38"/>
        <v>361250</v>
      </c>
      <c r="D95" s="332">
        <f t="shared" si="38"/>
        <v>0</v>
      </c>
      <c r="E95" s="332">
        <f t="shared" si="38"/>
        <v>0</v>
      </c>
      <c r="F95" s="332">
        <f t="shared" si="38"/>
        <v>447000</v>
      </c>
      <c r="G95" s="332">
        <f t="shared" si="38"/>
        <v>3546000</v>
      </c>
      <c r="H95" s="332">
        <f t="shared" si="38"/>
        <v>0</v>
      </c>
      <c r="I95" s="332">
        <f t="shared" si="38"/>
        <v>1207500</v>
      </c>
      <c r="J95" s="332">
        <f t="shared" si="38"/>
        <v>0</v>
      </c>
      <c r="K95" s="400">
        <f t="shared" si="38"/>
        <v>0</v>
      </c>
      <c r="L95" s="346">
        <f t="shared" si="33"/>
        <v>6653750</v>
      </c>
      <c r="M95"/>
      <c r="N95"/>
      <c r="O95"/>
      <c r="P95"/>
      <c r="Q95"/>
      <c r="Z95"/>
      <c r="AA95"/>
    </row>
    <row r="96" spans="1:27" s="5" customFormat="1">
      <c r="A96" s="445" t="s">
        <v>902</v>
      </c>
      <c r="B96" s="332">
        <f t="shared" ref="B96:K96" si="39">IF(OR(B20="A",B20="C"),B94-B95,B94)</f>
        <v>11486316</v>
      </c>
      <c r="C96" s="332">
        <f t="shared" si="39"/>
        <v>14088750</v>
      </c>
      <c r="D96" s="332">
        <f t="shared" si="39"/>
        <v>16677596</v>
      </c>
      <c r="E96" s="332">
        <f t="shared" si="39"/>
        <v>32177596</v>
      </c>
      <c r="F96" s="332">
        <f t="shared" si="39"/>
        <v>98280000</v>
      </c>
      <c r="G96" s="332">
        <f t="shared" si="39"/>
        <v>36867044</v>
      </c>
      <c r="H96" s="332">
        <f t="shared" si="39"/>
        <v>13000000</v>
      </c>
      <c r="I96" s="332">
        <f t="shared" si="39"/>
        <v>11500000</v>
      </c>
      <c r="J96" s="332">
        <f t="shared" si="39"/>
        <v>5727273</v>
      </c>
      <c r="K96" s="400">
        <f t="shared" si="39"/>
        <v>4500000</v>
      </c>
      <c r="L96" s="346">
        <f t="shared" si="33"/>
        <v>244304575</v>
      </c>
      <c r="M96"/>
      <c r="N96"/>
      <c r="O96"/>
      <c r="P96"/>
      <c r="Q96"/>
      <c r="Z96"/>
      <c r="AA96"/>
    </row>
    <row r="97" spans="1:28" s="5" customFormat="1">
      <c r="A97" s="445" t="s">
        <v>903</v>
      </c>
      <c r="B97" s="332">
        <f t="shared" ref="B97:K97" si="40">IF(OR(B20="A",B20="C"),MAX(B96-B23-B22*B21,0),B96)</f>
        <v>0</v>
      </c>
      <c r="C97" s="332">
        <f t="shared" si="40"/>
        <v>1488750</v>
      </c>
      <c r="D97" s="332">
        <f t="shared" si="40"/>
        <v>16677596</v>
      </c>
      <c r="E97" s="332">
        <f t="shared" si="40"/>
        <v>23177596</v>
      </c>
      <c r="F97" s="332">
        <f t="shared" si="40"/>
        <v>98280000</v>
      </c>
      <c r="G97" s="332">
        <f t="shared" si="40"/>
        <v>27867044</v>
      </c>
      <c r="H97" s="332">
        <f t="shared" si="40"/>
        <v>4000000</v>
      </c>
      <c r="I97" s="332">
        <f t="shared" si="40"/>
        <v>11500000</v>
      </c>
      <c r="J97" s="332">
        <f t="shared" si="40"/>
        <v>0</v>
      </c>
      <c r="K97" s="400">
        <f t="shared" si="40"/>
        <v>4500000</v>
      </c>
      <c r="L97" s="346">
        <f t="shared" si="33"/>
        <v>187490986</v>
      </c>
      <c r="M97"/>
      <c r="N97"/>
      <c r="O97"/>
      <c r="P97"/>
      <c r="Q97"/>
      <c r="Z97"/>
      <c r="AA97"/>
    </row>
    <row r="98" spans="1:28" s="5" customFormat="1">
      <c r="A98" s="445" t="s">
        <v>906</v>
      </c>
      <c r="B98" s="332">
        <f>IF(OR(B20="A",B20="C"),ROUND(MAX(B97*{5;10;15;20;25;30;35}%-{0;0.25;0.75;1.65;3.25;5.85;9.85}*1000000,0),0),IF(B20="B",IF(B97&lt;2000000,0,ROUND(B97*10%,0)),ROUND(B97*20%,0)))</f>
        <v>0</v>
      </c>
      <c r="C98" s="332">
        <f>IF(OR(C20="A",C20="C"),ROUND(MAX(C97*{5;10;15;20;25;30;35}%-{0;0.25;0.75;1.65;3.25;5.85;9.85}*1000000,0),0),IF(C20="B",IF(C97&lt;2000000,0,ROUND(C97*10%,0)),ROUND(C97*20%,0)))</f>
        <v>74438</v>
      </c>
      <c r="D98" s="332">
        <f>IF(OR(D20="A",D20="C"),ROUND(MAX(D97*{5;10;15;20;25;30;35}%-{0;0.25;0.75;1.65;3.25;5.85;9.85}*1000000,0),0),IF(D20="B",IF(D97&lt;2000000,0,ROUND(D97*10%,0)),ROUND(D97*20%,0)))</f>
        <v>1667760</v>
      </c>
      <c r="E98" s="332">
        <f>IF(OR(E20="A",E20="C"),ROUND(MAX(E97*{5;10;15;20;25;30;35}%-{0;0.25;0.75;1.65;3.25;5.85;9.85}*1000000,0),0),IF(E20="B",IF(E97&lt;2000000,0,ROUND(E97*10%,0)),ROUND(E97*20%,0)))</f>
        <v>2985519</v>
      </c>
      <c r="F98" s="332">
        <f>IF(OR(F20="A",F20="C"),ROUND(MAX(F97*{5;10;15;20;25;30;35}%-{0;0.25;0.75;1.65;3.25;5.85;9.85}*1000000,0),0),IF(F20="B",IF(F97&lt;2000000,0,ROUND(F97*10%,0)),ROUND(F97*20%,0)))</f>
        <v>19656000</v>
      </c>
      <c r="G98" s="332">
        <f>IF(OR(G20="A",G20="C"),ROUND(MAX(G97*{5;10;15;20;25;30;35}%-{0;0.25;0.75;1.65;3.25;5.85;9.85}*1000000,0),0),IF(G20="B",IF(G97&lt;2000000,0,ROUND(G97*10%,0)),ROUND(G97*20%,0)))</f>
        <v>3923409</v>
      </c>
      <c r="H98" s="332">
        <f>IF(OR(H20="A",H20="C"),ROUND(MAX(H97*{5;10;15;20;25;30;35}%-{0;0.25;0.75;1.65;3.25;5.85;9.85}*1000000,0),0),IF(H20="B",IF(H97&lt;2000000,0,ROUND(H97*10%,0)),ROUND(H97*20%,0)))</f>
        <v>200000</v>
      </c>
      <c r="I98" s="332">
        <f>IF(OR(I20="A",I20="C"),ROUND(MAX(I97*{5;10;15;20;25;30;35}%-{0;0.25;0.75;1.65;3.25;5.85;9.85}*1000000,0),0),IF(I20="B",IF(I97&lt;2000000,0,ROUND(I97*10%,0)),ROUND(I97*20%,0)))</f>
        <v>2300000</v>
      </c>
      <c r="J98" s="332">
        <f>IF(OR(J20="A",J20="C"),ROUND(MAX(J97*{5;10;15;20;25;30;35}%-{0;0.25;0.75;1.65;3.25;5.85;9.85}*1000000,0),0),IF(J20="B",IF(J97&lt;2000000,0,ROUND(J97*10%,0)),ROUND(J97*20%,0)))</f>
        <v>0</v>
      </c>
      <c r="K98" s="400">
        <f>IF(OR(K20="A",K20="C"),ROUND(MAX(K97*{5;10;15;20;25;30;35}%-{0;0.25;0.75;1.65;3.25;5.85;9.85}*1000000,0),0),IF(K20="B",IF(K97&lt;2000000,0,ROUND(K97*10%,0)),ROUND(K97*20%,0)))</f>
        <v>450000</v>
      </c>
      <c r="L98" s="346">
        <f t="shared" si="33"/>
        <v>31257126</v>
      </c>
      <c r="M98"/>
      <c r="N98"/>
      <c r="O98"/>
      <c r="P98"/>
      <c r="Q98"/>
      <c r="Z98"/>
      <c r="AA98"/>
    </row>
    <row r="99" spans="1:28" s="5" customFormat="1">
      <c r="A99" s="445" t="s">
        <v>922</v>
      </c>
      <c r="B99" s="332">
        <f>B94</f>
        <v>12578316</v>
      </c>
      <c r="C99" s="332">
        <f t="shared" ref="C99:K99" si="41">C94</f>
        <v>14450000</v>
      </c>
      <c r="D99" s="332">
        <f t="shared" si="41"/>
        <v>16677596</v>
      </c>
      <c r="E99" s="332">
        <f t="shared" si="41"/>
        <v>32177596</v>
      </c>
      <c r="F99" s="332">
        <f t="shared" si="41"/>
        <v>98280000</v>
      </c>
      <c r="G99" s="332">
        <f t="shared" si="41"/>
        <v>40413044</v>
      </c>
      <c r="H99" s="332">
        <f t="shared" si="41"/>
        <v>13000000</v>
      </c>
      <c r="I99" s="332">
        <f t="shared" si="41"/>
        <v>11500000</v>
      </c>
      <c r="J99" s="332">
        <f t="shared" si="41"/>
        <v>5727273</v>
      </c>
      <c r="K99" s="400">
        <f t="shared" si="41"/>
        <v>4500000</v>
      </c>
      <c r="L99" s="346">
        <f t="shared" si="33"/>
        <v>249303825</v>
      </c>
      <c r="M99"/>
      <c r="N99"/>
      <c r="O99"/>
      <c r="P99"/>
      <c r="Q99"/>
      <c r="Z99"/>
      <c r="AA99"/>
    </row>
    <row r="100" spans="1:28" s="5" customFormat="1">
      <c r="A100" s="463" t="s">
        <v>1249</v>
      </c>
      <c r="B100" s="438"/>
      <c r="C100" s="438"/>
      <c r="D100" s="438"/>
      <c r="E100" s="438"/>
      <c r="F100" s="438"/>
      <c r="G100" s="438"/>
      <c r="H100" s="438"/>
      <c r="I100" s="438"/>
      <c r="J100" s="438">
        <f>'UAT12-Dec'!K106+'UAT13-Jan'!J27+'UAT13-Jan'!J29+'UAT13-Jan'!J31</f>
        <v>-2465027</v>
      </c>
      <c r="K100" s="511"/>
      <c r="L100" s="504">
        <f t="shared" si="33"/>
        <v>-2465027</v>
      </c>
      <c r="M100"/>
      <c r="N100"/>
      <c r="O100"/>
      <c r="P100"/>
      <c r="Q100"/>
      <c r="Z100" s="293"/>
      <c r="AA100"/>
    </row>
    <row r="101" spans="1:28" s="5" customFormat="1">
      <c r="A101" s="445" t="s">
        <v>488</v>
      </c>
      <c r="B101" s="332">
        <f t="shared" ref="B101:K101" si="42">B98</f>
        <v>0</v>
      </c>
      <c r="C101" s="332">
        <f t="shared" si="42"/>
        <v>74438</v>
      </c>
      <c r="D101" s="332">
        <f t="shared" si="42"/>
        <v>1667760</v>
      </c>
      <c r="E101" s="332">
        <f t="shared" si="42"/>
        <v>2985519</v>
      </c>
      <c r="F101" s="332">
        <f t="shared" si="42"/>
        <v>19656000</v>
      </c>
      <c r="G101" s="332">
        <f t="shared" si="42"/>
        <v>3923409</v>
      </c>
      <c r="H101" s="332">
        <f t="shared" si="42"/>
        <v>200000</v>
      </c>
      <c r="I101" s="332">
        <f t="shared" si="42"/>
        <v>2300000</v>
      </c>
      <c r="J101" s="332">
        <f t="shared" si="42"/>
        <v>0</v>
      </c>
      <c r="K101" s="400">
        <f t="shared" si="42"/>
        <v>450000</v>
      </c>
      <c r="L101" s="346">
        <f t="shared" si="33"/>
        <v>31257126</v>
      </c>
      <c r="M101"/>
      <c r="N101"/>
      <c r="O101"/>
      <c r="P101"/>
      <c r="Q101"/>
      <c r="Z101" s="293"/>
      <c r="AA101"/>
    </row>
    <row r="102" spans="1:28" s="5" customFormat="1">
      <c r="A102" s="445" t="s">
        <v>489</v>
      </c>
      <c r="B102" s="332">
        <f t="shared" ref="B102:K102" si="43">B95</f>
        <v>1092000</v>
      </c>
      <c r="C102" s="332">
        <f t="shared" si="43"/>
        <v>361250</v>
      </c>
      <c r="D102" s="332">
        <f t="shared" si="43"/>
        <v>0</v>
      </c>
      <c r="E102" s="332">
        <f t="shared" si="43"/>
        <v>0</v>
      </c>
      <c r="F102" s="332">
        <f t="shared" si="43"/>
        <v>447000</v>
      </c>
      <c r="G102" s="332">
        <f t="shared" si="43"/>
        <v>3546000</v>
      </c>
      <c r="H102" s="332">
        <f t="shared" si="43"/>
        <v>0</v>
      </c>
      <c r="I102" s="332">
        <f t="shared" si="43"/>
        <v>1207500</v>
      </c>
      <c r="J102" s="332">
        <f t="shared" si="43"/>
        <v>0</v>
      </c>
      <c r="K102" s="400">
        <f t="shared" si="43"/>
        <v>0</v>
      </c>
      <c r="L102" s="346">
        <f t="shared" si="33"/>
        <v>6653750</v>
      </c>
      <c r="M102"/>
      <c r="N102"/>
      <c r="O102"/>
      <c r="P102"/>
      <c r="Q102"/>
      <c r="Z102" s="293"/>
      <c r="AA102"/>
    </row>
    <row r="103" spans="1:28" s="5" customFormat="1">
      <c r="A103" s="445"/>
      <c r="B103" s="332"/>
      <c r="C103" s="332"/>
      <c r="D103" s="332"/>
      <c r="E103" s="332"/>
      <c r="F103" s="332"/>
      <c r="G103" s="332"/>
      <c r="H103" s="332"/>
      <c r="I103" s="332"/>
      <c r="J103" s="332"/>
      <c r="K103" s="400"/>
      <c r="L103" s="557"/>
      <c r="M103"/>
      <c r="N103"/>
      <c r="O103"/>
      <c r="P103"/>
      <c r="Q103"/>
      <c r="Z103" s="293"/>
      <c r="AA103"/>
    </row>
    <row r="104" spans="1:28" s="5" customFormat="1" ht="15.6">
      <c r="A104" s="411" t="s">
        <v>932</v>
      </c>
      <c r="B104" s="14"/>
      <c r="C104" s="7"/>
      <c r="D104" s="7"/>
      <c r="E104" s="7"/>
      <c r="F104" s="7"/>
      <c r="G104" s="7"/>
      <c r="H104" s="322"/>
      <c r="I104" s="322"/>
      <c r="J104" s="322"/>
      <c r="K104" s="381"/>
      <c r="L104" s="557"/>
      <c r="M104"/>
      <c r="N104"/>
      <c r="O104"/>
      <c r="P104"/>
      <c r="Q104"/>
      <c r="Z104" s="293"/>
      <c r="AA104"/>
    </row>
    <row r="105" spans="1:28">
      <c r="A105" s="445" t="s">
        <v>432</v>
      </c>
      <c r="B105" s="549">
        <f>MAX('UAT12-Dec'!B114,0)</f>
        <v>150</v>
      </c>
      <c r="C105" s="549">
        <f>MAX('UAT12-Dec'!C114,0)</f>
        <v>40</v>
      </c>
      <c r="D105" s="549">
        <f>MAX('UAT12-Dec'!E114,0)</f>
        <v>0</v>
      </c>
      <c r="E105" s="549">
        <f>MAX('UAT12-Dec'!F114,0)</f>
        <v>0</v>
      </c>
      <c r="F105" s="549">
        <f>MAX('UAT12-Dec'!G114,0)</f>
        <v>0</v>
      </c>
      <c r="G105" s="549">
        <f>MAX('UAT12-Dec'!H114,0)</f>
        <v>44</v>
      </c>
      <c r="H105" s="549">
        <f>MAX('UAT12-Dec'!I114,0)</f>
        <v>160</v>
      </c>
      <c r="I105" s="549">
        <f>MAX('UAT12-Dec'!J114,0)</f>
        <v>160</v>
      </c>
      <c r="J105" s="645">
        <f>ROUND(20*8*12/365,5)+'UAT11-Nov'!M124</f>
        <v>151.67119999999997</v>
      </c>
      <c r="K105" s="550">
        <f>MAX('UAT12-Dec'!L114,0)</f>
        <v>0</v>
      </c>
      <c r="L105" s="557">
        <f t="shared" ref="L105:L109" si="44">SUM(B105:K105)</f>
        <v>705.6712</v>
      </c>
      <c r="Z105" s="293"/>
      <c r="AA105" s="81"/>
      <c r="AB105" s="81"/>
    </row>
    <row r="106" spans="1:28">
      <c r="A106" s="445" t="s">
        <v>433</v>
      </c>
      <c r="B106" s="549">
        <f>MAX('UAT12-Dec'!B115,0)</f>
        <v>79</v>
      </c>
      <c r="C106" s="549">
        <f>MAX('UAT12-Dec'!C115,0)</f>
        <v>20</v>
      </c>
      <c r="D106" s="549">
        <f>MAX('UAT12-Dec'!E115,0)</f>
        <v>64</v>
      </c>
      <c r="E106" s="549">
        <f>MAX('UAT12-Dec'!F115,0)</f>
        <v>0</v>
      </c>
      <c r="F106" s="549">
        <f>MAX('UAT12-Dec'!G115,0)</f>
        <v>0</v>
      </c>
      <c r="G106" s="549">
        <f>MAX('UAT12-Dec'!H115,0)</f>
        <v>22</v>
      </c>
      <c r="H106" s="549">
        <f>MAX('UAT12-Dec'!I115,0)</f>
        <v>80</v>
      </c>
      <c r="I106" s="549">
        <f>MAX('UAT12-Dec'!J115,0)</f>
        <v>80</v>
      </c>
      <c r="J106" s="645">
        <f>ROUND(10*8*12/365,5)+'UAT11-Nov'!M125</f>
        <v>75.835609999999988</v>
      </c>
      <c r="K106" s="550">
        <f>MAX('UAT12-Dec'!L115,0)</f>
        <v>0</v>
      </c>
      <c r="L106" s="557">
        <f t="shared" si="44"/>
        <v>420.83560999999997</v>
      </c>
      <c r="Z106" s="293"/>
      <c r="AA106" s="81"/>
      <c r="AB106" s="81"/>
    </row>
    <row r="107" spans="1:28">
      <c r="A107" s="445" t="s">
        <v>434</v>
      </c>
      <c r="B107" s="555">
        <f>'UAT12-Dec'!B116</f>
        <v>0</v>
      </c>
      <c r="C107" s="555">
        <f>'UAT12-Dec'!C116</f>
        <v>0</v>
      </c>
      <c r="D107" s="555">
        <f>'UAT12-Dec'!E116</f>
        <v>22.01</v>
      </c>
      <c r="E107" s="555">
        <f>'UAT12-Dec'!F116</f>
        <v>0</v>
      </c>
      <c r="F107" s="555">
        <f>'UAT12-Dec'!G116</f>
        <v>0</v>
      </c>
      <c r="G107" s="555">
        <f>'UAT12-Dec'!H116</f>
        <v>0</v>
      </c>
      <c r="H107" s="555">
        <f>'UAT12-Dec'!I116</f>
        <v>0</v>
      </c>
      <c r="I107" s="555">
        <f>'UAT12-Dec'!J116</f>
        <v>0</v>
      </c>
      <c r="J107" s="555">
        <f>'UAT12-Dec'!K116</f>
        <v>0</v>
      </c>
      <c r="K107" s="556">
        <f>'UAT12-Dec'!L116</f>
        <v>0</v>
      </c>
      <c r="L107" s="559">
        <f t="shared" si="44"/>
        <v>22.01</v>
      </c>
      <c r="Z107" s="293"/>
      <c r="AA107" s="81"/>
      <c r="AB107" s="81"/>
    </row>
    <row r="108" spans="1:28">
      <c r="A108" s="445" t="s">
        <v>435</v>
      </c>
      <c r="B108" s="555">
        <f>'UAT12-Dec'!B117</f>
        <v>4.54</v>
      </c>
      <c r="C108" s="555">
        <f>'UAT12-Dec'!C117</f>
        <v>0</v>
      </c>
      <c r="D108" s="555">
        <f>'UAT12-Dec'!E117</f>
        <v>0</v>
      </c>
      <c r="E108" s="555">
        <f>'UAT12-Dec'!F117</f>
        <v>0</v>
      </c>
      <c r="F108" s="555">
        <f>'UAT12-Dec'!G117</f>
        <v>0</v>
      </c>
      <c r="G108" s="555">
        <f>'UAT12-Dec'!H117</f>
        <v>0</v>
      </c>
      <c r="H108" s="555">
        <f>'UAT12-Dec'!I117</f>
        <v>5</v>
      </c>
      <c r="I108" s="555">
        <f>'UAT12-Dec'!J117</f>
        <v>4.5</v>
      </c>
      <c r="J108" s="555">
        <f>'UAT12-Dec'!K117</f>
        <v>0</v>
      </c>
      <c r="K108" s="556">
        <f>'UAT12-Dec'!L117</f>
        <v>0</v>
      </c>
      <c r="L108" s="559">
        <f t="shared" si="44"/>
        <v>14.04</v>
      </c>
      <c r="Z108" s="293"/>
      <c r="AA108" s="81"/>
      <c r="AB108" s="81"/>
    </row>
    <row r="109" spans="1:28">
      <c r="A109" s="445" t="s">
        <v>436</v>
      </c>
      <c r="B109" s="555">
        <f>'UAT10-Oct'!B154</f>
        <v>13.58</v>
      </c>
      <c r="C109" s="555">
        <f>'UAT10-Oct'!D154</f>
        <v>0</v>
      </c>
      <c r="D109" s="555">
        <f>'UAT10-Oct'!F154</f>
        <v>0</v>
      </c>
      <c r="E109" s="555">
        <f>'UAT10-Oct'!G154</f>
        <v>0</v>
      </c>
      <c r="F109" s="555">
        <f>'UAT10-Oct'!I154</f>
        <v>0</v>
      </c>
      <c r="G109" s="555">
        <f>'UAT10-Oct'!J154</f>
        <v>0</v>
      </c>
      <c r="H109" s="555">
        <f>'UAT10-Oct'!K154</f>
        <v>0</v>
      </c>
      <c r="I109" s="555">
        <f>'UAT10-Oct'!L154</f>
        <v>0</v>
      </c>
      <c r="J109" s="555">
        <f>'UAT10-Oct'!M154</f>
        <v>0</v>
      </c>
      <c r="K109" s="556">
        <f>'UAT10-Oct'!O154</f>
        <v>0</v>
      </c>
      <c r="L109" s="622">
        <f t="shared" si="44"/>
        <v>13.58</v>
      </c>
      <c r="Z109" s="293"/>
      <c r="AA109" s="81"/>
      <c r="AB109" s="81"/>
    </row>
    <row r="110" spans="1:28">
      <c r="A110" s="445"/>
      <c r="D110" s="5"/>
      <c r="E110" s="5"/>
      <c r="F110" s="5"/>
      <c r="K110" s="621"/>
      <c r="L110" s="345"/>
      <c r="Z110" s="293"/>
      <c r="AA110" s="81"/>
      <c r="AB110" s="81"/>
    </row>
    <row r="111" spans="1:28" ht="15.6">
      <c r="A111" s="411" t="s">
        <v>933</v>
      </c>
      <c r="B111" s="14"/>
      <c r="C111" s="7"/>
      <c r="D111" s="7"/>
      <c r="E111" s="7"/>
      <c r="F111" s="7"/>
      <c r="G111" s="7"/>
      <c r="H111" s="322"/>
      <c r="I111" s="322"/>
      <c r="J111" s="322"/>
      <c r="K111" s="381"/>
      <c r="L111" s="622"/>
      <c r="Z111" s="293"/>
      <c r="AA111" s="81"/>
      <c r="AB111" s="81"/>
    </row>
    <row r="112" spans="1:28">
      <c r="A112" s="445" t="s">
        <v>432</v>
      </c>
      <c r="B112" s="549">
        <f>'New Hire'!C100+MIN(0,'UAT12-Dec'!B114)</f>
        <v>160</v>
      </c>
      <c r="C112" s="549">
        <f>'New Hire'!E100+MIN(0,'UAT12-Dec'!C114)</f>
        <v>160</v>
      </c>
      <c r="D112" s="601">
        <f>'New Hire'!G100+MIN(0,'UAT12-Dec'!E114)</f>
        <v>88</v>
      </c>
      <c r="E112" s="549">
        <f>'New Hire'!H100+MIN(0,'UAT12-Dec'!F114)</f>
        <v>0</v>
      </c>
      <c r="F112" s="549">
        <f>'New Hire'!J100+MIN(0,'UAT12-Dec'!G114)</f>
        <v>0</v>
      </c>
      <c r="G112" s="549">
        <f>'New Hire'!K100+MIN(0,'UAT12-Dec'!H114)</f>
        <v>96</v>
      </c>
      <c r="H112" s="549">
        <f>'New Hire'!L100+MIN(0,'UAT12-Dec'!I114)</f>
        <v>160</v>
      </c>
      <c r="I112" s="549">
        <f>'New Hire'!M100+MIN(0,'UAT12-Dec'!J114)</f>
        <v>160</v>
      </c>
      <c r="J112" s="549">
        <f>'New Hire'!N100+MIN(0,'UAT12-Dec'!K114)</f>
        <v>160</v>
      </c>
      <c r="K112" s="550">
        <f>'New Hire'!P100+MIN(0,'UAT12-Dec'!L114)</f>
        <v>0</v>
      </c>
      <c r="L112" s="622">
        <f t="shared" ref="L112:L116" si="45">SUM(B112:K112)</f>
        <v>984</v>
      </c>
      <c r="Z112" s="293"/>
      <c r="AA112" s="81"/>
      <c r="AB112" s="81"/>
    </row>
    <row r="113" spans="1:28">
      <c r="A113" s="445" t="s">
        <v>433</v>
      </c>
      <c r="B113" s="549">
        <f>'New Hire'!C104+MIN(0,'UAT12-Dec'!B115)</f>
        <v>80</v>
      </c>
      <c r="C113" s="549">
        <f>'New Hire'!E104+MIN(0,'UAT12-Dec'!C115)</f>
        <v>80</v>
      </c>
      <c r="D113" s="549">
        <f>'New Hire'!G104+MIN(0,'UAT12-Dec'!E115)</f>
        <v>64</v>
      </c>
      <c r="E113" s="549">
        <f>'New Hire'!H104+MIN(0,'UAT12-Dec'!F115)</f>
        <v>0</v>
      </c>
      <c r="F113" s="549">
        <f>'New Hire'!J104+MIN(0,'UAT12-Dec'!G115)</f>
        <v>0</v>
      </c>
      <c r="G113" s="549">
        <f>'New Hire'!K104+MIN(0,'UAT12-Dec'!H115)</f>
        <v>48</v>
      </c>
      <c r="H113" s="549">
        <f>'New Hire'!L104+MIN(0,'UAT12-Dec'!I115)</f>
        <v>80</v>
      </c>
      <c r="I113" s="549">
        <f>'New Hire'!M104+MIN(0,'UAT12-Dec'!J115)</f>
        <v>80</v>
      </c>
      <c r="J113" s="549">
        <f>'New Hire'!N104+MIN(0,'UAT12-Dec'!K115)</f>
        <v>80</v>
      </c>
      <c r="K113" s="550">
        <f>'New Hire'!P104+MIN(0,'UAT12-Dec'!L115)</f>
        <v>0</v>
      </c>
      <c r="L113" s="622">
        <f t="shared" si="45"/>
        <v>512</v>
      </c>
      <c r="Z113" s="293"/>
      <c r="AA113" s="81"/>
      <c r="AB113" s="81"/>
    </row>
    <row r="114" spans="1:28">
      <c r="A114" s="445" t="s">
        <v>434</v>
      </c>
      <c r="B114" s="555">
        <f>'UAT12-Dec'!B116</f>
        <v>0</v>
      </c>
      <c r="C114" s="555">
        <f>'UAT12-Dec'!C116</f>
        <v>0</v>
      </c>
      <c r="D114" s="555">
        <f>'UAT12-Dec'!D116</f>
        <v>0</v>
      </c>
      <c r="E114" s="555">
        <f>'UAT12-Dec'!E116</f>
        <v>22.01</v>
      </c>
      <c r="F114" s="555">
        <f>'UAT12-Dec'!F116</f>
        <v>0</v>
      </c>
      <c r="G114" s="555">
        <f>'UAT12-Dec'!G116</f>
        <v>0</v>
      </c>
      <c r="H114" s="555">
        <f>'UAT12-Dec'!H116</f>
        <v>0</v>
      </c>
      <c r="I114" s="555">
        <f>'UAT12-Dec'!I116</f>
        <v>0</v>
      </c>
      <c r="J114" s="555">
        <f>'UAT12-Dec'!J116</f>
        <v>0</v>
      </c>
      <c r="K114" s="556">
        <f>'UAT12-Dec'!K116</f>
        <v>0</v>
      </c>
      <c r="L114" s="584">
        <f t="shared" si="45"/>
        <v>22.01</v>
      </c>
      <c r="Z114" s="293"/>
      <c r="AA114" s="81"/>
      <c r="AB114" s="81"/>
    </row>
    <row r="115" spans="1:28">
      <c r="A115" s="445" t="s">
        <v>435</v>
      </c>
      <c r="B115" s="555">
        <f>'UAT12-Dec'!B117</f>
        <v>4.54</v>
      </c>
      <c r="C115" s="555">
        <f>'UAT12-Dec'!C117</f>
        <v>0</v>
      </c>
      <c r="D115" s="555">
        <f>'UAT12-Dec'!D117</f>
        <v>0</v>
      </c>
      <c r="E115" s="555">
        <f>'UAT12-Dec'!E117</f>
        <v>0</v>
      </c>
      <c r="F115" s="555">
        <f>'UAT12-Dec'!F117</f>
        <v>0</v>
      </c>
      <c r="G115" s="555">
        <f>'UAT12-Dec'!G117</f>
        <v>0</v>
      </c>
      <c r="H115" s="555">
        <f>'UAT12-Dec'!H117</f>
        <v>0</v>
      </c>
      <c r="I115" s="555">
        <f>'UAT12-Dec'!I117</f>
        <v>5</v>
      </c>
      <c r="J115" s="555">
        <f>'UAT12-Dec'!J117</f>
        <v>4.5</v>
      </c>
      <c r="K115" s="556">
        <f>'UAT12-Dec'!K117</f>
        <v>0</v>
      </c>
      <c r="L115" s="584">
        <f t="shared" si="45"/>
        <v>14.04</v>
      </c>
      <c r="Z115" s="293"/>
      <c r="AA115" s="81"/>
      <c r="AB115" s="81"/>
    </row>
    <row r="116" spans="1:28" s="160" customFormat="1">
      <c r="A116" s="445" t="s">
        <v>436</v>
      </c>
      <c r="B116" s="555">
        <f>'UAT10-Oct'!B161</f>
        <v>0</v>
      </c>
      <c r="C116" s="555">
        <f>'UAT10-Oct'!D161</f>
        <v>0</v>
      </c>
      <c r="D116" s="555">
        <f>'UAT10-Oct'!F161</f>
        <v>0</v>
      </c>
      <c r="E116" s="555">
        <f>'UAT10-Oct'!G161</f>
        <v>0</v>
      </c>
      <c r="F116" s="555">
        <f>'UAT10-Oct'!I161</f>
        <v>0</v>
      </c>
      <c r="G116" s="555">
        <f>'UAT10-Oct'!J161</f>
        <v>0</v>
      </c>
      <c r="H116" s="555">
        <f>'UAT10-Oct'!K161</f>
        <v>0</v>
      </c>
      <c r="I116" s="555">
        <f>'UAT10-Oct'!L161</f>
        <v>0</v>
      </c>
      <c r="J116" s="555">
        <f>'UAT10-Oct'!M161</f>
        <v>0</v>
      </c>
      <c r="K116" s="556">
        <f>'UAT10-Oct'!O161</f>
        <v>0</v>
      </c>
      <c r="L116" s="622">
        <f t="shared" si="45"/>
        <v>0</v>
      </c>
      <c r="M116"/>
      <c r="N116"/>
      <c r="O116"/>
      <c r="P116"/>
      <c r="Q116"/>
      <c r="R116" s="5"/>
      <c r="S116" s="5"/>
      <c r="T116" s="5"/>
      <c r="U116" s="5"/>
      <c r="V116" s="5"/>
      <c r="W116" s="5"/>
      <c r="X116" s="5"/>
      <c r="Y116" s="5"/>
      <c r="Z116" s="293"/>
      <c r="AA116" s="81"/>
      <c r="AB116" s="288"/>
    </row>
    <row r="117" spans="1:28">
      <c r="A117" s="445"/>
      <c r="B117" s="555"/>
      <c r="C117" s="555"/>
      <c r="D117" s="555"/>
      <c r="E117" s="555"/>
      <c r="F117" s="555"/>
      <c r="G117" s="555"/>
      <c r="H117" s="555"/>
      <c r="I117" s="555"/>
      <c r="J117" s="555"/>
      <c r="K117" s="555"/>
      <c r="L117" s="537"/>
      <c r="Z117" s="293"/>
      <c r="AA117" s="288"/>
      <c r="AB117" s="81"/>
    </row>
    <row r="118" spans="1:28" ht="15.6">
      <c r="A118" s="411" t="s">
        <v>437</v>
      </c>
      <c r="Z118" s="293"/>
      <c r="AA118" s="81"/>
      <c r="AB118" s="81"/>
    </row>
    <row r="119" spans="1:28" s="5" customFormat="1">
      <c r="A119" s="6" t="s">
        <v>863</v>
      </c>
      <c r="B119" s="551">
        <f>IF(OR(B12="S",B12="C"),0,IF(OR(B12="1",B12="3"),ROUND(20*8*B18/366,5),ROUND(20*'New Hire'!C24*B18/366,5)))</f>
        <v>13.551909999999999</v>
      </c>
      <c r="C119" s="551">
        <f>IF(OR(C12="S",C12="C"),0,IF(OR(C12="1",C12="3"),ROUND(20*8*C18/366,5),ROUND(20*'New Hire'!E24*C18/366,5)))</f>
        <v>13.551909999999999</v>
      </c>
      <c r="D119" s="551">
        <f>IF(OR(D12="S",D12="C"),0,IF(OR(D12="1",D12="3"),ROUND(20*8*D18/366,5),ROUND(20*'New Hire'!G24*D18/366,5)))</f>
        <v>10.841530000000001</v>
      </c>
      <c r="E119" s="551">
        <f>IF(OR(E12="S",E12="C"),0,IF(OR(E12="1",E12="3"),ROUND(20*8*E18/366,5),ROUND(20*'New Hire'!H24*E18/366,5)))</f>
        <v>0</v>
      </c>
      <c r="F119" s="551">
        <f>IF(OR(F12="S",F12="C"),0,IF(OR(F12=1,F12=3),ROUND(20*8*F18/366,5),ROUND(20*'New Hire'!J24*F18/366,5)))</f>
        <v>0</v>
      </c>
      <c r="G119" s="551">
        <f>IF(OR(G12="S",G12="C"),0,IF(OR(G12="1",G12="3"),ROUND(20*8*G18/366,5),ROUND(20*'New Hire'!K24*G18/366,5)))</f>
        <v>2.2295099999999999</v>
      </c>
      <c r="H119" s="551">
        <f>IF(OR(H12="S",H12="C"),0,IF(OR(H12="1",H12="3"),ROUND(20*8*H18/366,5),ROUND(20*'New Hire'!L24*H18/366,5)))</f>
        <v>13.551909999999999</v>
      </c>
      <c r="I119" s="551">
        <f>IF(OR(I12="S",I12="C"),0,IF(OR(I12="1",I12="3"),ROUND(20*8*I18/366,5),ROUND(20*'New Hire'!M24*I18/366,5)))</f>
        <v>13.551909999999999</v>
      </c>
      <c r="J119" s="551">
        <f>IF(OR(J12="S",J12="C"),0,IF(OR(J12="1",J12="3"),ROUND(20*8*J18/366,5),ROUND(20*'New Hire'!N24*J18/366,5)))</f>
        <v>13.551909999999999</v>
      </c>
      <c r="K119" s="551">
        <v>0</v>
      </c>
      <c r="L119"/>
      <c r="M119"/>
      <c r="N119"/>
      <c r="O119"/>
      <c r="P119"/>
      <c r="Q119"/>
      <c r="Z119" s="293"/>
      <c r="AA119" s="81"/>
      <c r="AB119" s="80"/>
    </row>
    <row r="120" spans="1:28" s="5" customFormat="1">
      <c r="A120" s="6" t="s">
        <v>864</v>
      </c>
      <c r="B120" s="552">
        <f>IF(OR(B12="S",B12="C"),0,IF(OR(B12="1",B12="3"),ROUND(10*8*B18/366,5),ROUND(10*'New Hire'!C24*B18/366,5)))</f>
        <v>6.7759600000000004</v>
      </c>
      <c r="C120" s="552">
        <f>IF(OR(C12="S",C12="C"),0,IF(OR(C12="1",C12="3"),ROUND(10*8*C18/366,5),ROUND(10*'New Hire'!E24*C18/366,5)))</f>
        <v>6.7759600000000004</v>
      </c>
      <c r="D120" s="552">
        <f>IF(OR(D12="S",D12="C"),0,IF(OR(D12="1",D12="3"),ROUND(10*8*D18/366,5),ROUND(10*'New Hire'!G24*D18/366,5)))</f>
        <v>5.4207700000000001</v>
      </c>
      <c r="E120" s="552">
        <f>IF(OR(E12="S",E12="C"),0,IF(OR(E12="1",E12="3"),ROUND(10*8*E18/366,5),ROUND(10*'New Hire'!H24*E18/366,5)))</f>
        <v>0</v>
      </c>
      <c r="F120" s="552">
        <f>IF(OR(F12="S",F12="C"),0,IF(OR(F12=1,F12=3),ROUND(10*8*F18/366,5),ROUND(10*'New Hire'!J24*F18/366,5)))</f>
        <v>0</v>
      </c>
      <c r="G120" s="552">
        <f>IF(OR(G12="S",G12="C"),0,IF(OR(G12="1",G12="3"),ROUND(10*8*G18/366,5),ROUND(10*'New Hire'!K24*G18/366,5)))</f>
        <v>1.1147499999999999</v>
      </c>
      <c r="H120" s="552">
        <f>IF(OR(H12="S",H12="C"),0,IF(OR(H12="1",H12="3"),ROUND(10*8*H18/366,5),ROUND(10*'New Hire'!L24*H18/366,5)))</f>
        <v>6.7759600000000004</v>
      </c>
      <c r="I120" s="552">
        <f>IF(OR(I12="S",I12="C"),0,IF(OR(I12="1",I12="3"),ROUND(10*8*I18/366,5),ROUND(10*'New Hire'!M24*I18/366,5)))</f>
        <v>6.7759600000000004</v>
      </c>
      <c r="J120" s="552">
        <f>IF(OR(J12="S",J12="C"),0,IF(OR(J12="1",J12="3"),ROUND(10*8*J18/366,5),ROUND(10*'New Hire'!N24*J18/366,5)))</f>
        <v>6.7759600000000004</v>
      </c>
      <c r="K120" s="552">
        <v>0</v>
      </c>
      <c r="L120"/>
      <c r="M120"/>
      <c r="N120"/>
      <c r="O120"/>
      <c r="P120"/>
      <c r="Q120"/>
      <c r="Z120" s="293"/>
      <c r="AA120" s="81"/>
      <c r="AB120" s="80"/>
    </row>
    <row r="121" spans="1:28" s="5" customFormat="1">
      <c r="A121" s="445" t="s">
        <v>829</v>
      </c>
      <c r="B121" s="551">
        <f>IF(B107&lt;&gt;0,0,IF('New Hire'!C78=1,ROUND(25/10*B14%/366,5)*B18,0)+'UAT12-Dec'!B123)</f>
        <v>0</v>
      </c>
      <c r="C121" s="551">
        <f>IF(C107&lt;&gt;0,0,IF('New Hire'!E78=1,ROUND(25/10*C14%/366,5)*C18,0)+'UAT12-Dec'!C123)</f>
        <v>0</v>
      </c>
      <c r="D121" s="551">
        <f>IF(D107&lt;&gt;0,0,IF('New Hire'!G78=1,ROUND(25/10*D14%/366,5)*D18,0)+'UAT12-Dec'!E123)</f>
        <v>0</v>
      </c>
      <c r="E121" s="551">
        <f>IF(E107&lt;&gt;0,0,IF('New Hire'!H78=1,ROUND(25/10*E14%/366,5)*E18,0)+'UAT12-Dec'!F123)</f>
        <v>0</v>
      </c>
      <c r="F121" s="551">
        <f>IF(F107&lt;&gt;0,0,IF('New Hire'!J78=1,ROUND(25/10*F14%/366,5)*F18,0)+'UAT12-Dec'!G123)</f>
        <v>0</v>
      </c>
      <c r="G121" s="551">
        <f>IF(G107&lt;&gt;0,0,IF('New Hire'!K78=1,ROUND(25/10*G14%/366,5)*G18,0)+'UAT12-Dec'!H123)</f>
        <v>0</v>
      </c>
      <c r="H121" s="551">
        <f>IF(H107&lt;&gt;0,0,IF('New Hire'!L78=1,ROUND(25/10*H14%/366,5)*H18,0)+'UAT12-Dec'!I123)</f>
        <v>0</v>
      </c>
      <c r="I121" s="551">
        <f>IF(I107&lt;&gt;0,0,IF('New Hire'!M78=1,ROUND(25/10*I14%/366,5)*I18,0)+'UAT12-Dec'!J123)</f>
        <v>0</v>
      </c>
      <c r="J121" s="551">
        <f>IF(J107&lt;&gt;0,0,IF('New Hire'!N78=1,ROUND(25/10*J14%/366,5)*J18,0)+'UAT12-Dec'!K123)</f>
        <v>0</v>
      </c>
      <c r="K121" s="551">
        <f>IF(K107&lt;&gt;0,0,IF('New Hire'!P78=1,ROUND(25/10*K14%/366,5)*K18,0)+'UAT12-Dec'!L123)</f>
        <v>0</v>
      </c>
      <c r="L121"/>
      <c r="M121"/>
      <c r="N121"/>
      <c r="O121"/>
      <c r="P121"/>
      <c r="Q121"/>
      <c r="Z121" s="293"/>
      <c r="AA121" s="81"/>
      <c r="AB121" s="80"/>
    </row>
    <row r="122" spans="1:28" s="5" customFormat="1">
      <c r="A122" s="445" t="s">
        <v>830</v>
      </c>
      <c r="B122" s="552">
        <f>IF(B12="C",0,IF(B108&lt;&gt;0,0,IF('New Hire'!C78=1,0,ROUND(5/5*B14%/366,5)*B18)+'UAT12-Dec'!B124))</f>
        <v>0</v>
      </c>
      <c r="C122" s="552">
        <f>IF(C12="C",0,IF(C108&lt;&gt;0,0,IF('New Hire'!D78=1,0,ROUND(5/5*C14%/366,5)*C18)+'UAT12-Dec'!C124))</f>
        <v>0.61755999999999989</v>
      </c>
      <c r="D122" s="552">
        <f>IF(D12="C",0,IF(D108&lt;&gt;0,0,IF('New Hire'!E78=1,0,ROUND(5/5*D14%/366,5)*D18)+'UAT12-Dec'!D124))</f>
        <v>0.25176999999999999</v>
      </c>
      <c r="E122" s="552">
        <f>IF(E12="C",0,IF(E108&lt;&gt;0,0,IF('New Hire'!F78=1,0,ROUND(5/5*E14%/366,5)*E18)+'UAT12-Dec'!E124))</f>
        <v>0</v>
      </c>
      <c r="F122" s="552">
        <f>IF(F12="C",0,IF(F108&lt;&gt;0,0,IF('New Hire'!G78=1,0,ROUND(5/5*F14%/366,5)*F18)+'UAT12-Dec'!F124))</f>
        <v>0</v>
      </c>
      <c r="G122" s="552">
        <f>IF(G12="C",0,IF(G108&lt;&gt;0,0,IF('New Hire'!H78=1,0,ROUND(5/5*G14%/366,5)*G18)+'UAT12-Dec'!G124))</f>
        <v>0.10822999999999999</v>
      </c>
      <c r="H122" s="552">
        <f>IF(H12="C",0,IF(H108&lt;&gt;0,0,IF('New Hire'!I78=1,0,ROUND(5/5*H14%/366,5)*H18)+'UAT12-Dec'!H124))</f>
        <v>0</v>
      </c>
      <c r="I122" s="552">
        <f>IF(I12="C",0,IF(I108&lt;&gt;0,0,IF('New Hire'!J78=1,0,ROUND(5/5*I14%/366,5)*I18)+'UAT12-Dec'!I124))</f>
        <v>0</v>
      </c>
      <c r="J122" s="552">
        <f>IF(J12="C",0,IF(J108&lt;&gt;0,0,IF('New Hire'!K78=1,0,ROUND(5/5*J14%/366,5)*J18)+'UAT12-Dec'!J124))</f>
        <v>8.4629999999999997E-2</v>
      </c>
      <c r="K122" s="552">
        <f>IF(K12="C",0,IF(K108&lt;&gt;0,0,IF('New Hire'!L78=1,0,ROUND(5/5*K14%/366,5)*K18)+'UAT12-Dec'!K124))</f>
        <v>0</v>
      </c>
      <c r="L122"/>
      <c r="M122"/>
      <c r="N122"/>
      <c r="O122"/>
      <c r="P122"/>
      <c r="Q122"/>
      <c r="Z122" s="293"/>
      <c r="AA122" s="81"/>
      <c r="AB122" s="80"/>
    </row>
    <row r="123" spans="1:28" s="5" customFormat="1">
      <c r="A123" s="463" t="s">
        <v>1243</v>
      </c>
      <c r="B123" s="644"/>
      <c r="C123" s="644"/>
      <c r="D123" s="644"/>
      <c r="E123" s="644"/>
      <c r="F123" s="644"/>
      <c r="G123" s="644"/>
      <c r="H123" s="644"/>
      <c r="I123" s="644"/>
      <c r="J123" s="658">
        <v>10</v>
      </c>
      <c r="K123" s="644"/>
      <c r="L123" s="521"/>
      <c r="M123"/>
      <c r="N123"/>
      <c r="O123"/>
      <c r="P123"/>
      <c r="Q123"/>
      <c r="Z123" s="293"/>
      <c r="AA123" s="81"/>
      <c r="AB123" s="80"/>
    </row>
    <row r="124" spans="1:28" s="5" customFormat="1">
      <c r="A124" s="445"/>
      <c r="B124" s="549"/>
      <c r="C124" s="549"/>
      <c r="D124" s="549"/>
      <c r="E124" s="549"/>
      <c r="F124" s="549"/>
      <c r="G124" s="549"/>
      <c r="H124" s="549"/>
      <c r="I124" s="549"/>
      <c r="J124" s="549"/>
      <c r="K124" s="549"/>
      <c r="L124"/>
      <c r="M124"/>
      <c r="N124"/>
      <c r="O124"/>
      <c r="P124"/>
      <c r="Q124"/>
      <c r="Z124" s="293"/>
      <c r="AA124" s="81"/>
      <c r="AB124" s="80"/>
    </row>
    <row r="125" spans="1:28" s="5" customFormat="1" ht="15.6">
      <c r="A125" s="411" t="s">
        <v>629</v>
      </c>
      <c r="D125"/>
      <c r="E125"/>
      <c r="F125"/>
      <c r="G125"/>
      <c r="H125"/>
      <c r="I125"/>
      <c r="J125"/>
      <c r="K125"/>
      <c r="L125"/>
      <c r="M125"/>
      <c r="N125"/>
      <c r="O125"/>
      <c r="P125"/>
      <c r="Q125"/>
      <c r="Z125"/>
      <c r="AA125" s="81"/>
      <c r="AB125" s="80"/>
    </row>
    <row r="126" spans="1:28" s="5" customFormat="1">
      <c r="A126" s="535" t="s">
        <v>479</v>
      </c>
      <c r="B126" s="536">
        <v>8000000</v>
      </c>
      <c r="C126" s="536">
        <v>11000000</v>
      </c>
      <c r="D126" s="536">
        <v>16000000</v>
      </c>
      <c r="E126"/>
      <c r="F126" s="536">
        <v>4200</v>
      </c>
      <c r="G126" s="536">
        <v>55000000</v>
      </c>
      <c r="H126" s="536">
        <v>10000000</v>
      </c>
      <c r="I126" s="536">
        <v>11500000</v>
      </c>
      <c r="J126" s="536">
        <v>7000000</v>
      </c>
      <c r="K126"/>
      <c r="L126"/>
      <c r="M126"/>
      <c r="N126"/>
      <c r="O126"/>
      <c r="P126"/>
      <c r="Q126"/>
      <c r="Z126"/>
      <c r="AA126" s="81"/>
      <c r="AB126" s="80"/>
    </row>
    <row r="127" spans="1:28" s="5" customFormat="1">
      <c r="A127" s="445" t="s">
        <v>776</v>
      </c>
      <c r="B127" s="452"/>
      <c r="C127" s="452"/>
      <c r="D127" s="452"/>
      <c r="E127" s="536">
        <v>250</v>
      </c>
      <c r="F127" s="452"/>
      <c r="G127" s="452"/>
      <c r="H127" s="452"/>
      <c r="I127" s="452"/>
      <c r="J127" s="452"/>
      <c r="K127" s="536">
        <v>900000</v>
      </c>
      <c r="L127"/>
      <c r="M127"/>
      <c r="N127"/>
      <c r="O127"/>
      <c r="P127"/>
      <c r="Q127"/>
      <c r="Z127"/>
      <c r="AA127" s="81"/>
      <c r="AB127" s="80"/>
    </row>
    <row r="128" spans="1:28" s="5" customFormat="1">
      <c r="A128" s="451" t="s">
        <v>496</v>
      </c>
      <c r="B128" s="452">
        <v>800000</v>
      </c>
      <c r="C128" s="452">
        <v>1100000</v>
      </c>
      <c r="D128" s="452">
        <v>0</v>
      </c>
      <c r="E128" s="452">
        <v>0</v>
      </c>
      <c r="F128" s="452">
        <v>0</v>
      </c>
      <c r="G128" s="452">
        <v>5500000</v>
      </c>
      <c r="H128" s="452">
        <v>1000000</v>
      </c>
      <c r="I128" s="452">
        <v>0</v>
      </c>
      <c r="J128" s="452">
        <v>1400000</v>
      </c>
      <c r="K128" s="452">
        <f>'New Hire'!P34</f>
        <v>0</v>
      </c>
      <c r="L128"/>
      <c r="M128"/>
      <c r="N128"/>
      <c r="O128"/>
      <c r="P128"/>
      <c r="Q128"/>
      <c r="Z128"/>
      <c r="AA128" s="81"/>
      <c r="AB128" s="80"/>
    </row>
    <row r="129" spans="1:28" s="5" customFormat="1">
      <c r="A129" s="415" t="s">
        <v>569</v>
      </c>
      <c r="B129" s="452">
        <v>1600000</v>
      </c>
      <c r="C129" s="452">
        <v>2350000</v>
      </c>
      <c r="D129" s="452">
        <v>0</v>
      </c>
      <c r="E129" s="452">
        <v>0</v>
      </c>
      <c r="F129" s="452">
        <v>0</v>
      </c>
      <c r="G129" s="452">
        <v>11000000</v>
      </c>
      <c r="H129" s="452">
        <v>2000000</v>
      </c>
      <c r="I129" s="452">
        <v>0</v>
      </c>
      <c r="J129" s="452">
        <v>2100000</v>
      </c>
      <c r="K129" s="452">
        <f>'New Hire'!P36</f>
        <v>0</v>
      </c>
      <c r="L129"/>
      <c r="M129"/>
      <c r="N129"/>
      <c r="O129"/>
      <c r="P129"/>
      <c r="Q129"/>
      <c r="Z129"/>
      <c r="AA129" s="81"/>
      <c r="AB129" s="80"/>
    </row>
    <row r="130" spans="1:28">
      <c r="A130" s="423" t="s">
        <v>495</v>
      </c>
      <c r="B130" s="452"/>
      <c r="C130" s="452"/>
      <c r="D130" s="452"/>
      <c r="E130" s="452"/>
      <c r="F130" s="452"/>
      <c r="G130" s="452"/>
      <c r="H130" s="452"/>
      <c r="I130" s="452"/>
      <c r="J130" s="452"/>
      <c r="K130" s="452"/>
      <c r="AA130" s="81"/>
      <c r="AB130" s="81"/>
    </row>
    <row r="131" spans="1:28">
      <c r="A131" s="412" t="s">
        <v>530</v>
      </c>
      <c r="B131" s="452"/>
      <c r="C131" s="452"/>
      <c r="D131" s="452"/>
      <c r="E131" s="452"/>
      <c r="F131" s="452"/>
      <c r="G131" s="452"/>
      <c r="H131" s="452"/>
      <c r="I131" s="452"/>
      <c r="J131" s="452"/>
      <c r="K131" s="452"/>
      <c r="AA131" s="81"/>
      <c r="AB131" s="81"/>
    </row>
    <row r="132" spans="1:28">
      <c r="A132" s="423" t="s">
        <v>598</v>
      </c>
      <c r="B132" s="452"/>
      <c r="C132" s="452"/>
      <c r="D132" s="452"/>
      <c r="E132" s="452"/>
      <c r="F132" s="452"/>
      <c r="G132" s="452"/>
      <c r="H132" s="452"/>
      <c r="I132" s="452"/>
      <c r="J132" s="452"/>
      <c r="K132" s="452"/>
      <c r="AA132" s="81"/>
      <c r="AB132" s="81"/>
    </row>
    <row r="133" spans="1:28">
      <c r="A133" s="415" t="s">
        <v>493</v>
      </c>
      <c r="B133" s="452"/>
      <c r="C133" s="452"/>
      <c r="D133" s="452"/>
      <c r="E133" s="452"/>
      <c r="F133" s="452"/>
      <c r="G133" s="452"/>
      <c r="H133" s="452"/>
      <c r="I133" s="452"/>
      <c r="J133" s="452"/>
      <c r="K133" s="452"/>
    </row>
    <row r="134" spans="1:28">
      <c r="A134" s="415" t="s">
        <v>499</v>
      </c>
      <c r="B134" s="452"/>
      <c r="C134" s="452"/>
      <c r="D134" s="452"/>
      <c r="E134" s="452"/>
      <c r="F134" s="452"/>
      <c r="G134" s="452"/>
      <c r="H134" s="452"/>
      <c r="I134" s="452"/>
      <c r="J134" s="452"/>
      <c r="K134" s="452"/>
    </row>
    <row r="135" spans="1:28">
      <c r="A135" s="6" t="s">
        <v>630</v>
      </c>
      <c r="B135" s="452"/>
      <c r="C135" s="452"/>
      <c r="D135" s="452"/>
      <c r="E135" s="452"/>
      <c r="F135" s="452"/>
      <c r="G135" s="452"/>
      <c r="H135" s="452"/>
      <c r="I135" s="452"/>
      <c r="J135" s="452"/>
      <c r="K135" s="452"/>
    </row>
    <row r="136" spans="1:28">
      <c r="A136" s="6" t="s">
        <v>632</v>
      </c>
      <c r="B136" s="452"/>
      <c r="C136" s="452"/>
      <c r="D136" s="452"/>
      <c r="E136" s="452"/>
      <c r="F136" s="452"/>
      <c r="G136" s="452"/>
      <c r="H136" s="452"/>
      <c r="I136" s="452"/>
      <c r="J136" s="452"/>
      <c r="K136" s="452"/>
    </row>
    <row r="137" spans="1:28">
      <c r="A137" s="412" t="s">
        <v>613</v>
      </c>
      <c r="B137" s="452"/>
      <c r="C137" s="452"/>
      <c r="D137" s="452"/>
      <c r="E137" s="452"/>
      <c r="F137" s="452">
        <v>100</v>
      </c>
      <c r="G137" s="452"/>
      <c r="H137" s="452"/>
      <c r="I137" s="452"/>
      <c r="J137" s="452"/>
      <c r="K137" s="452"/>
    </row>
    <row r="138" spans="1:28" ht="42.6" customHeight="1">
      <c r="A138" s="412" t="s">
        <v>614</v>
      </c>
      <c r="B138" s="452"/>
      <c r="C138" s="452"/>
      <c r="D138" s="452"/>
      <c r="E138" s="452"/>
      <c r="F138" s="452">
        <v>200</v>
      </c>
      <c r="G138" s="452"/>
      <c r="H138" s="452"/>
      <c r="I138" s="452"/>
      <c r="J138" s="452"/>
      <c r="K138" s="452"/>
    </row>
    <row r="139" spans="1:28">
      <c r="A139" s="6" t="s">
        <v>633</v>
      </c>
      <c r="B139" s="452">
        <f t="shared" ref="B139:K139" si="46">IF(OR(B20="A",B20="B"),B126,(B126-B137-B138)*B81)</f>
        <v>8000000</v>
      </c>
      <c r="C139" s="452">
        <f t="shared" si="46"/>
        <v>11000000</v>
      </c>
      <c r="D139" s="452">
        <f t="shared" si="46"/>
        <v>16000000</v>
      </c>
      <c r="E139" s="452">
        <f t="shared" si="46"/>
        <v>0</v>
      </c>
      <c r="F139" s="452">
        <f t="shared" si="46"/>
        <v>3900</v>
      </c>
      <c r="G139" s="452">
        <f t="shared" si="46"/>
        <v>55000000</v>
      </c>
      <c r="H139" s="452">
        <f t="shared" si="46"/>
        <v>10000000</v>
      </c>
      <c r="I139" s="452">
        <f t="shared" si="46"/>
        <v>11500000</v>
      </c>
      <c r="J139" s="452">
        <f t="shared" si="46"/>
        <v>7000000</v>
      </c>
      <c r="K139" s="452">
        <f t="shared" si="46"/>
        <v>0</v>
      </c>
    </row>
    <row r="140" spans="1:28">
      <c r="A140" s="6" t="s">
        <v>635</v>
      </c>
      <c r="B140" s="452">
        <f t="shared" ref="B140:H140" si="47">IF(B12="C",0,IF(OR(B20="A",B20="B"),0,ROUND(B139*$B$5,0)+ROUND(B128*$B$5,0)+ROUND(B129*$B$5,0)+ROUND(B131*$B$5,0)))</f>
        <v>0</v>
      </c>
      <c r="C140" s="452">
        <f t="shared" si="47"/>
        <v>0</v>
      </c>
      <c r="D140" s="452">
        <f t="shared" si="47"/>
        <v>0</v>
      </c>
      <c r="E140" s="452">
        <f t="shared" si="47"/>
        <v>0</v>
      </c>
      <c r="F140" s="452">
        <f t="shared" si="47"/>
        <v>91650000</v>
      </c>
      <c r="G140" s="452">
        <f t="shared" si="47"/>
        <v>0</v>
      </c>
      <c r="H140" s="452">
        <f t="shared" si="47"/>
        <v>0</v>
      </c>
      <c r="I140" s="452"/>
      <c r="J140" s="452">
        <f>IF(J12="C",0,IF(OR(J20="A",J20="B"),0,ROUND(J126*$B$5,0)+ROUND(J128*$B$5,0)+ROUND(J129*$B$5,0)+ROUND(J131*$B$5,0)))</f>
        <v>0</v>
      </c>
      <c r="K140" s="452">
        <f>IF(K12="C",0,IF(OR(K20="A",K20="B"),0,ROUND(K126*$B$5,0)+ROUND(K128*$B$5,0)+ROUND(K129*$B$5,0)+ROUND(K131*$B$5,0)))</f>
        <v>0</v>
      </c>
    </row>
    <row r="141" spans="1:28">
      <c r="A141" s="6" t="s">
        <v>665</v>
      </c>
      <c r="B141" s="5">
        <v>0</v>
      </c>
      <c r="C141" s="5">
        <v>0</v>
      </c>
      <c r="D141" s="5">
        <v>0</v>
      </c>
      <c r="E141" s="5">
        <v>0</v>
      </c>
      <c r="F141" s="5">
        <v>0</v>
      </c>
      <c r="G141" s="5">
        <v>0</v>
      </c>
      <c r="H141" s="5">
        <v>0</v>
      </c>
      <c r="I141" s="5">
        <v>0</v>
      </c>
      <c r="J141" s="5">
        <v>0</v>
      </c>
      <c r="K141" s="5">
        <v>0</v>
      </c>
    </row>
    <row r="142" spans="1:28">
      <c r="A142" s="6" t="s">
        <v>866</v>
      </c>
      <c r="B142" s="5">
        <v>0</v>
      </c>
      <c r="C142" s="5">
        <v>50</v>
      </c>
      <c r="D142">
        <v>0</v>
      </c>
      <c r="E142">
        <v>0</v>
      </c>
      <c r="F142">
        <v>0</v>
      </c>
      <c r="G142">
        <v>0</v>
      </c>
      <c r="H142">
        <v>0</v>
      </c>
      <c r="I142">
        <v>0</v>
      </c>
      <c r="J142">
        <v>0</v>
      </c>
      <c r="K142">
        <v>0</v>
      </c>
    </row>
    <row r="143" spans="1:28" ht="14.4" thickBot="1"/>
    <row r="144" spans="1:28" ht="23.4">
      <c r="A144" s="734" t="s">
        <v>936</v>
      </c>
      <c r="B144" s="735"/>
      <c r="C144" s="735"/>
      <c r="D144" s="735"/>
      <c r="E144" s="735"/>
      <c r="F144" s="735"/>
      <c r="G144" s="735"/>
      <c r="H144" s="735"/>
      <c r="I144" s="735"/>
      <c r="J144" s="735"/>
      <c r="K144" s="736"/>
      <c r="L144" s="604"/>
    </row>
    <row r="145" spans="1:11">
      <c r="A145" s="605" t="s">
        <v>917</v>
      </c>
      <c r="B145" s="340">
        <f>'UAT12-Dec'!B109</f>
        <v>149301979</v>
      </c>
      <c r="C145" s="340">
        <f>'UAT12-Dec'!C109</f>
        <v>110365899</v>
      </c>
      <c r="D145" s="640">
        <f>'UAT12-Dec'!E109</f>
        <v>216809348</v>
      </c>
      <c r="E145" s="340">
        <f>'UAT12-Dec'!F109</f>
        <v>487305000</v>
      </c>
      <c r="F145" s="340">
        <f>'UAT12-Dec'!G109</f>
        <v>1192385190.8621001</v>
      </c>
      <c r="G145" s="340">
        <f>'UAT12-Dec'!H109</f>
        <v>775225262</v>
      </c>
      <c r="H145" s="340">
        <f>'UAT12-Dec'!I109</f>
        <v>168257728</v>
      </c>
      <c r="I145" s="340">
        <f>'UAT12-Dec'!J109</f>
        <v>525589353</v>
      </c>
      <c r="J145" s="439">
        <f>'UAT12-Dec'!K109+J100</f>
        <v>115100833</v>
      </c>
      <c r="K145" s="606">
        <f>'UAT12-Dec'!L109</f>
        <v>54500000</v>
      </c>
    </row>
    <row r="146" spans="1:11">
      <c r="A146" s="605" t="s">
        <v>488</v>
      </c>
      <c r="B146" s="340">
        <f>'UAT12-Dec'!B110</f>
        <v>2113683</v>
      </c>
      <c r="C146" s="340">
        <f>'UAT12-Dec'!C110</f>
        <v>937750</v>
      </c>
      <c r="D146" s="640">
        <f>'UAT12-Dec'!E110</f>
        <v>21680932</v>
      </c>
      <c r="E146" s="340">
        <f>'UAT12-Dec'!F110</f>
        <v>76456375</v>
      </c>
      <c r="F146" s="340">
        <f>'UAT12-Dec'!G110</f>
        <v>238560438</v>
      </c>
      <c r="G146" s="340">
        <f>'UAT12-Dec'!H110</f>
        <v>129143729</v>
      </c>
      <c r="H146" s="340">
        <f>'UAT12-Dec'!I110</f>
        <v>5751546</v>
      </c>
      <c r="I146" s="340">
        <f>'UAT12-Dec'!J110</f>
        <v>107280071</v>
      </c>
      <c r="J146" s="340">
        <f>'UAT12-Dec'!K110</f>
        <v>853295</v>
      </c>
      <c r="K146" s="606">
        <f>'UAT12-Dec'!L110</f>
        <v>5450000</v>
      </c>
    </row>
    <row r="147" spans="1:11">
      <c r="A147" s="605" t="s">
        <v>489</v>
      </c>
      <c r="B147" s="340">
        <f>IF(OR('UAT12-Dec'!B22="A",'UAT12-Dec'!B22="C"),'UAT12-Dec'!B111,0)</f>
        <v>10248000</v>
      </c>
      <c r="C147" s="340">
        <f>IF(OR('UAT12-Dec'!C22="A",'UAT12-Dec'!C22="C"),'UAT12-Dec'!C111,0)</f>
        <v>2321250</v>
      </c>
      <c r="D147" s="640">
        <f>IF(OR('UAT12-Dec'!E22="A",'UAT12-Dec'!E22="C"),'UAT12-Dec'!E111,0)</f>
        <v>0</v>
      </c>
      <c r="E147" s="340">
        <f>IF(OR('UAT12-Dec'!F22="A",'UAT12-Dec'!F22="C"),'UAT12-Dec'!F111,0)</f>
        <v>0</v>
      </c>
      <c r="F147" s="340">
        <f>IF(OR('UAT12-Dec'!G22="A",'UAT12-Dec'!G22="C"),'UAT12-Dec'!G111,0)</f>
        <v>0</v>
      </c>
      <c r="G147" s="340">
        <f>IF(OR('UAT12-Dec'!H22="A",'UAT12-Dec'!H22="C"),'UAT12-Dec'!H111,0)</f>
        <v>41970000</v>
      </c>
      <c r="H147" s="340">
        <f>IF(OR('UAT12-Dec'!I22="A",'UAT12-Dec'!I22="C"),'UAT12-Dec'!I111,0)</f>
        <v>0</v>
      </c>
      <c r="I147" s="340">
        <f>IF(OR('UAT12-Dec'!J22="A",'UAT12-Dec'!J22="C"),'UAT12-Dec'!J111,0)</f>
        <v>0</v>
      </c>
      <c r="J147" s="340">
        <f>IF(OR('UAT12-Dec'!K22="A",'UAT12-Dec'!K22="C"),'UAT12-Dec'!K111,0)</f>
        <v>0</v>
      </c>
      <c r="K147" s="606">
        <f>IF(OR('UAT12-Dec'!L22="A",'UAT12-Dec'!L22="C"),'UAT12-Dec'!L111,0)</f>
        <v>0</v>
      </c>
    </row>
    <row r="148" spans="1:11">
      <c r="A148" s="607" t="s">
        <v>937</v>
      </c>
      <c r="B148" s="340">
        <f>IF(OR('UAT12-Dec'!B22="A",'UAT12-Dec'!B22="C"),B23*12,0)</f>
        <v>108000000</v>
      </c>
      <c r="C148" s="340">
        <f>IF(OR('UAT12-Dec'!C22="A",'UAT12-Dec'!C22="C"),C23*12,0)</f>
        <v>108000000</v>
      </c>
      <c r="D148" s="640">
        <f>IF(OR('UAT12-Dec'!E22="A",'UAT12-Dec'!E22="C"),D23*12,0)</f>
        <v>0</v>
      </c>
      <c r="E148" s="340">
        <f>IF(OR('UAT12-Dec'!F22="A",'UAT12-Dec'!F22="C"),E23*12,0)</f>
        <v>108000000</v>
      </c>
      <c r="F148" s="340">
        <f>IF(OR('UAT12-Dec'!G22="A",'UAT12-Dec'!G22="C"),F23*12,0)</f>
        <v>0</v>
      </c>
      <c r="G148" s="340">
        <f>IF(OR('UAT12-Dec'!H22="A",'UAT12-Dec'!H22="C"),G23*12,0)</f>
        <v>108000000</v>
      </c>
      <c r="H148" s="340">
        <f>IF(OR('UAT12-Dec'!I22="A",'UAT12-Dec'!I22="C"),H23*12,0)</f>
        <v>108000000</v>
      </c>
      <c r="I148" s="340">
        <f>IF(OR('UAT12-Dec'!J22="A",'UAT12-Dec'!J22="C"),I23*12,0)</f>
        <v>0</v>
      </c>
      <c r="J148" s="340">
        <f>IF(OR('UAT12-Dec'!K22="A",'UAT12-Dec'!K22="C"),J23*12,0)</f>
        <v>108000000</v>
      </c>
      <c r="K148" s="606">
        <f>IF(OR('UAT12-Dec'!L22="A",'UAT12-Dec'!L22="C"),K23*12,0)</f>
        <v>0</v>
      </c>
    </row>
    <row r="149" spans="1:11">
      <c r="A149" s="607" t="s">
        <v>938</v>
      </c>
      <c r="B149" s="340">
        <f>IF(OR('UAT12-Dec'!B22="A",'UAT12-Dec'!B22="C"),'UAT12-Dec'!B24*12*'UAT12-Dec'!B23,0)</f>
        <v>43200000</v>
      </c>
      <c r="C149" s="340">
        <f>IF(OR('UAT12-Dec'!C22="A",'UAT12-Dec'!C22="C"),'UAT12-Dec'!C24*12*'UAT12-Dec'!C23,0)</f>
        <v>0</v>
      </c>
      <c r="D149" s="640">
        <f>IF(OR('UAT12-Dec'!E22="A",'UAT12-Dec'!E22="C"),'UAT12-Dec'!E24*12*'UAT12-Dec'!E23,0)</f>
        <v>0</v>
      </c>
      <c r="E149" s="340">
        <f>IF(OR('UAT12-Dec'!F22="A",'UAT12-Dec'!F22="C"),'UAT12-Dec'!F24*12*'UAT12-Dec'!F23,0)</f>
        <v>0</v>
      </c>
      <c r="F149" s="340">
        <f>IF(OR('UAT12-Dec'!G22="A",'UAT12-Dec'!G22="C"),'UAT12-Dec'!G24*12*'UAT12-Dec'!G23,0)</f>
        <v>0</v>
      </c>
      <c r="G149" s="340">
        <f>IF(OR('UAT12-Dec'!H22="A",'UAT12-Dec'!H22="C"),'UAT12-Dec'!H24*12*'UAT12-Dec'!H23,0)</f>
        <v>0</v>
      </c>
      <c r="H149" s="340">
        <f>IF(OR('UAT12-Dec'!I22="A",'UAT12-Dec'!I22="C"),'UAT12-Dec'!I24*12*'UAT12-Dec'!I23,0)</f>
        <v>0</v>
      </c>
      <c r="I149" s="340">
        <f>IF(OR('UAT12-Dec'!J22="A",'UAT12-Dec'!J22="C"),'UAT12-Dec'!J24*12*'UAT12-Dec'!J23,0)</f>
        <v>0</v>
      </c>
      <c r="J149" s="340">
        <f>IF(OR('UAT12-Dec'!K22="A",'UAT12-Dec'!K22="C"),'UAT12-Dec'!K24*12*'UAT12-Dec'!K23,0)</f>
        <v>0</v>
      </c>
      <c r="K149" s="606">
        <f>IF(OR('UAT12-Dec'!L22="A",'UAT12-Dec'!L22="C"),'UAT12-Dec'!L24*12*'UAT12-Dec'!L23,0)</f>
        <v>0</v>
      </c>
    </row>
    <row r="150" spans="1:11">
      <c r="A150" s="607" t="s">
        <v>939</v>
      </c>
      <c r="B150" s="340">
        <f>MAX(B145-B147-B148-B149,0)</f>
        <v>0</v>
      </c>
      <c r="C150" s="340">
        <f t="shared" ref="C150:K150" si="48">MAX(C145-C147-C148-C149,0)</f>
        <v>44649</v>
      </c>
      <c r="D150" s="640">
        <f t="shared" si="48"/>
        <v>216809348</v>
      </c>
      <c r="E150" s="340">
        <f t="shared" si="48"/>
        <v>379305000</v>
      </c>
      <c r="F150" s="340">
        <f t="shared" si="48"/>
        <v>1192385190.8621001</v>
      </c>
      <c r="G150" s="340">
        <f t="shared" si="48"/>
        <v>625255262</v>
      </c>
      <c r="H150" s="340">
        <f t="shared" si="48"/>
        <v>60257728</v>
      </c>
      <c r="I150" s="340">
        <f t="shared" si="48"/>
        <v>525589353</v>
      </c>
      <c r="J150" s="340">
        <f t="shared" si="48"/>
        <v>7100833</v>
      </c>
      <c r="K150" s="606">
        <f t="shared" si="48"/>
        <v>54500000</v>
      </c>
    </row>
    <row r="151" spans="1:11">
      <c r="A151" s="607" t="s">
        <v>940</v>
      </c>
      <c r="B151" s="340">
        <f>ROUND(B150/12,0)</f>
        <v>0</v>
      </c>
      <c r="C151" s="340">
        <f t="shared" ref="C151:K151" si="49">ROUND(C150/12,0)</f>
        <v>3721</v>
      </c>
      <c r="D151" s="640">
        <f>ROUND(D150/9,0)</f>
        <v>24089928</v>
      </c>
      <c r="E151" s="340">
        <f t="shared" si="49"/>
        <v>31608750</v>
      </c>
      <c r="F151" s="340">
        <f t="shared" si="49"/>
        <v>99365433</v>
      </c>
      <c r="G151" s="340">
        <f t="shared" si="49"/>
        <v>52104605</v>
      </c>
      <c r="H151" s="340">
        <f t="shared" si="49"/>
        <v>5021477</v>
      </c>
      <c r="I151" s="340">
        <f t="shared" si="49"/>
        <v>43799113</v>
      </c>
      <c r="J151" s="340">
        <f t="shared" si="49"/>
        <v>591736</v>
      </c>
      <c r="K151" s="606">
        <f t="shared" si="49"/>
        <v>4541667</v>
      </c>
    </row>
    <row r="152" spans="1:11">
      <c r="A152" s="607" t="s">
        <v>941</v>
      </c>
      <c r="B152" s="340">
        <f>IF(OR('UAT12-Dec'!B22="A",'UAT12-Dec'!B22="C"),ROUND(MAX(B151*{5;10;15;20;25;30;35}%-{0;0.25;0.75;1.65;3.25;5.85;9.85}*1000000,0),0),IF('UAT12-Dec'!B22="B",IF(B151&lt;2000000,0,ROUND(B151*10%,0)),ROUND(B151*20%,0)))</f>
        <v>0</v>
      </c>
      <c r="C152" s="340">
        <f>IF(OR('UAT12-Dec'!C22="A",'UAT12-Dec'!C22="C"),ROUND(MAX(C151*{5;10;15;20;25;30;35}%-{0;0.25;0.75;1.65;3.25;5.85;9.85}*1000000,0),0),IF('UAT12-Dec'!C22="B",IF(C151&lt;2000000,0,ROUND(C151*10%,0)),ROUND(C151*20%,0)))</f>
        <v>186</v>
      </c>
      <c r="D152" s="640">
        <f>IF(OR('UAT12-Dec'!E22="A",'UAT12-Dec'!E22="C"),ROUND(MAX(D151*{5;10;15;20;25;30;35}%-{0;0.25;0.75;1.65;3.25;5.85;9.85}*1000000,0),0),IF('UAT12-Dec'!E22="B",IF(D151&lt;2000000,0,ROUND(D151*10%,0)),ROUND(D151*20%,0)))</f>
        <v>2408993</v>
      </c>
      <c r="E152" s="340">
        <f>IF(OR('UAT12-Dec'!F22="A",'UAT12-Dec'!F22="C"),ROUND(MAX(E151*{5;10;15;20;25;30;35}%-{0;0.25;0.75;1.65;3.25;5.85;9.85}*1000000,0),0),IF('UAT12-Dec'!F22="B",IF(E151&lt;2000000,0,ROUND(E151*10%,0)),ROUND(E151*20%,0)))</f>
        <v>4671750</v>
      </c>
      <c r="F152" s="340">
        <f>IF(OR('UAT12-Dec'!G22="A",'UAT12-Dec'!G22="C"),ROUND(MAX(F151*{5;10;15;20;25;30;35}%-{0;0.25;0.75;1.65;3.25;5.85;9.85}*1000000,0),0),IF('UAT12-Dec'!G22="B",IF(F151&lt;2000000,0,ROUND(F151*10%,0)),ROUND(F151*20%,0)))</f>
        <v>19873087</v>
      </c>
      <c r="G152" s="340">
        <f>IF(OR('UAT12-Dec'!H22="A",'UAT12-Dec'!H22="C"),ROUND(MAX(G151*{5;10;15;20;25;30;35}%-{0;0.25;0.75;1.65;3.25;5.85;9.85}*1000000,0),0),IF('UAT12-Dec'!H22="B",IF(G151&lt;2000000,0,ROUND(G151*10%,0)),ROUND(G151*20%,0)))</f>
        <v>9781382</v>
      </c>
      <c r="H152" s="340">
        <f>IF(OR('UAT12-Dec'!I22="A",'UAT12-Dec'!I22="C"),ROUND(MAX(H151*{5;10;15;20;25;30;35}%-{0;0.25;0.75;1.65;3.25;5.85;9.85}*1000000,0),0),IF('UAT12-Dec'!I22="B",IF(H151&lt;2000000,0,ROUND(H151*10%,0)),ROUND(H151*20%,0)))</f>
        <v>252148</v>
      </c>
      <c r="I152" s="340">
        <f>IF(OR('UAT12-Dec'!J22="A",'UAT12-Dec'!J22="C"),ROUND(MAX(I151*{5;10;15;20;25;30;35}%-{0;0.25;0.75;1.65;3.25;5.85;9.85}*1000000,0),0),IF('UAT12-Dec'!J22="B",IF(I151&lt;2000000,0,ROUND(I151*10%,0)),ROUND(I151*20%,0)))</f>
        <v>8759823</v>
      </c>
      <c r="J152" s="340">
        <f>IF(OR('UAT12-Dec'!K22="A",'UAT12-Dec'!K22="C"),ROUND(MAX(J151*{5;10;15;20;25;30;35}%-{0;0.25;0.75;1.65;3.25;5.85;9.85}*1000000,0),0),IF('UAT12-Dec'!K22="B",IF(J151&lt;2000000,0,ROUND(J151*10%,0)),ROUND(J151*20%,0)))</f>
        <v>29587</v>
      </c>
      <c r="K152" s="606">
        <f>IF(OR('UAT12-Dec'!L22="A",'UAT12-Dec'!L22="C"),ROUND(MAX(K151*{5;10;15;20;25;30;35}%-{0;0.25;0.75;1.65;3.25;5.85;9.85}*1000000,0),0),IF('UAT12-Dec'!L22="B",IF(K151&lt;2000000,0,ROUND(K151*10%,0)),ROUND(K151*20%,0)))</f>
        <v>454167</v>
      </c>
    </row>
    <row r="153" spans="1:11">
      <c r="A153" s="607" t="s">
        <v>942</v>
      </c>
      <c r="B153" s="340">
        <f>B152*12</f>
        <v>0</v>
      </c>
      <c r="C153" s="340">
        <f t="shared" ref="C153:K153" si="50">C152*12</f>
        <v>2232</v>
      </c>
      <c r="D153" s="640">
        <f>D152*9</f>
        <v>21680937</v>
      </c>
      <c r="E153" s="340">
        <f t="shared" si="50"/>
        <v>56061000</v>
      </c>
      <c r="F153" s="340">
        <f t="shared" si="50"/>
        <v>238477044</v>
      </c>
      <c r="G153" s="340">
        <f t="shared" si="50"/>
        <v>117376584</v>
      </c>
      <c r="H153" s="340">
        <f t="shared" si="50"/>
        <v>3025776</v>
      </c>
      <c r="I153" s="340">
        <f t="shared" si="50"/>
        <v>105117876</v>
      </c>
      <c r="J153" s="340">
        <f t="shared" si="50"/>
        <v>355044</v>
      </c>
      <c r="K153" s="606">
        <f t="shared" si="50"/>
        <v>5450004</v>
      </c>
    </row>
    <row r="154" spans="1:11" ht="14.4" thickBot="1">
      <c r="A154" s="659" t="s">
        <v>1183</v>
      </c>
      <c r="B154" s="660">
        <f>B153-B146</f>
        <v>-2113683</v>
      </c>
      <c r="C154" s="660">
        <f t="shared" ref="C154:K154" si="51">C153-C146</f>
        <v>-935518</v>
      </c>
      <c r="D154" s="661">
        <f t="shared" si="51"/>
        <v>5</v>
      </c>
      <c r="E154" s="660">
        <f t="shared" si="51"/>
        <v>-20395375</v>
      </c>
      <c r="F154" s="660">
        <f t="shared" si="51"/>
        <v>-83394</v>
      </c>
      <c r="G154" s="660">
        <f t="shared" si="51"/>
        <v>-11767145</v>
      </c>
      <c r="H154" s="660">
        <f t="shared" si="51"/>
        <v>-2725770</v>
      </c>
      <c r="I154" s="660">
        <f t="shared" si="51"/>
        <v>-2162195</v>
      </c>
      <c r="J154" s="660">
        <f t="shared" si="51"/>
        <v>-498251</v>
      </c>
      <c r="K154" s="662">
        <f t="shared" si="51"/>
        <v>4</v>
      </c>
    </row>
  </sheetData>
  <mergeCells count="5">
    <mergeCell ref="E6:G6"/>
    <mergeCell ref="T6:W6"/>
    <mergeCell ref="L7:L8"/>
    <mergeCell ref="T9:W13"/>
    <mergeCell ref="A144:K144"/>
  </mergeCells>
  <phoneticPr fontId="104" type="noConversion"/>
  <pageMargins left="0.75" right="0.75" top="1" bottom="1" header="0.5" footer="0.5"/>
  <pageSetup paperSize="9" orientation="portrait" verticalDpi="90" r:id="rId1"/>
  <headerFooter alignWithMargins="0"/>
  <drawing r:id="rId2"/>
  <legacy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2:G46"/>
  <sheetViews>
    <sheetView workbookViewId="0">
      <selection activeCell="C13" sqref="C13"/>
    </sheetView>
  </sheetViews>
  <sheetFormatPr defaultRowHeight="13.8"/>
  <cols>
    <col min="1" max="1" width="63.88671875" style="162" customWidth="1"/>
    <col min="2" max="2" width="33.88671875" style="149" customWidth="1"/>
    <col min="3" max="3" width="76" style="162" customWidth="1"/>
    <col min="4" max="4" width="3.33203125" style="162" customWidth="1"/>
    <col min="5" max="6" width="8.88671875" style="162"/>
    <col min="7" max="7" width="16.21875" style="162" customWidth="1"/>
    <col min="8" max="16384" width="8.88671875" style="162"/>
  </cols>
  <sheetData>
    <row r="2" spans="1:7">
      <c r="A2" s="162" t="s">
        <v>362</v>
      </c>
    </row>
    <row r="3" spans="1:7">
      <c r="A3" s="162" t="s">
        <v>363</v>
      </c>
    </row>
    <row r="4" spans="1:7">
      <c r="A4" s="162" t="s">
        <v>364</v>
      </c>
    </row>
    <row r="6" spans="1:7">
      <c r="A6" s="261" t="s">
        <v>365</v>
      </c>
      <c r="B6" s="262" t="s">
        <v>366</v>
      </c>
    </row>
    <row r="7" spans="1:7" s="156" customFormat="1">
      <c r="A7" s="263" t="s">
        <v>367</v>
      </c>
      <c r="B7" s="150" t="s">
        <v>368</v>
      </c>
    </row>
    <row r="8" spans="1:7">
      <c r="A8" s="162" t="s">
        <v>369</v>
      </c>
      <c r="B8" s="149" t="s">
        <v>370</v>
      </c>
    </row>
    <row r="9" spans="1:7">
      <c r="A9" s="162" t="s">
        <v>371</v>
      </c>
      <c r="B9" s="264" t="s">
        <v>372</v>
      </c>
    </row>
    <row r="10" spans="1:7">
      <c r="A10" s="162" t="s">
        <v>373</v>
      </c>
      <c r="B10" s="264" t="s">
        <v>372</v>
      </c>
    </row>
    <row r="12" spans="1:7">
      <c r="A12" s="265" t="s">
        <v>374</v>
      </c>
      <c r="B12" s="262" t="s">
        <v>366</v>
      </c>
      <c r="C12" s="266"/>
      <c r="D12" s="266"/>
      <c r="E12" s="266"/>
      <c r="F12" s="267"/>
      <c r="G12" s="267"/>
    </row>
    <row r="13" spans="1:7" s="156" customFormat="1" ht="27.6">
      <c r="A13" s="268" t="s">
        <v>375</v>
      </c>
      <c r="B13" s="264" t="s">
        <v>372</v>
      </c>
      <c r="C13" s="269"/>
      <c r="D13" s="269"/>
      <c r="E13" s="269"/>
      <c r="F13" s="270"/>
      <c r="G13" s="270"/>
    </row>
    <row r="14" spans="1:7">
      <c r="A14" s="162" t="s">
        <v>376</v>
      </c>
      <c r="B14" s="264" t="s">
        <v>372</v>
      </c>
      <c r="C14" s="271"/>
      <c r="D14" s="271"/>
      <c r="E14" s="271"/>
      <c r="F14" s="271"/>
      <c r="G14" s="271"/>
    </row>
    <row r="15" spans="1:7" ht="27.6">
      <c r="A15" s="272" t="s">
        <v>377</v>
      </c>
      <c r="B15" s="264" t="s">
        <v>372</v>
      </c>
      <c r="C15" s="271"/>
      <c r="D15" s="271"/>
      <c r="E15" s="271"/>
      <c r="F15" s="271"/>
      <c r="G15" s="271"/>
    </row>
    <row r="16" spans="1:7">
      <c r="A16" s="162" t="s">
        <v>378</v>
      </c>
      <c r="B16" s="264" t="s">
        <v>379</v>
      </c>
      <c r="C16" s="271"/>
      <c r="D16" s="271"/>
      <c r="E16" s="271"/>
      <c r="F16" s="273"/>
      <c r="G16" s="271"/>
    </row>
    <row r="17" spans="1:7">
      <c r="A17" s="162" t="s">
        <v>380</v>
      </c>
      <c r="B17" s="264" t="s">
        <v>379</v>
      </c>
      <c r="C17" s="271"/>
      <c r="D17" s="271"/>
      <c r="E17" s="271"/>
      <c r="F17" s="271"/>
      <c r="G17" s="271"/>
    </row>
    <row r="18" spans="1:7">
      <c r="A18" s="162" t="s">
        <v>381</v>
      </c>
      <c r="B18" s="264" t="s">
        <v>382</v>
      </c>
      <c r="C18" s="271"/>
      <c r="D18" s="271"/>
      <c r="E18" s="271"/>
      <c r="F18" s="271"/>
      <c r="G18" s="271"/>
    </row>
    <row r="19" spans="1:7">
      <c r="A19" s="162" t="s">
        <v>383</v>
      </c>
      <c r="B19" s="264" t="s">
        <v>372</v>
      </c>
      <c r="C19" s="271"/>
      <c r="D19" s="271"/>
      <c r="E19" s="271"/>
      <c r="F19" s="271"/>
      <c r="G19" s="271"/>
    </row>
    <row r="20" spans="1:7">
      <c r="B20" s="264"/>
      <c r="C20" s="271"/>
      <c r="D20" s="271"/>
      <c r="E20" s="271"/>
      <c r="F20" s="271"/>
      <c r="G20" s="271"/>
    </row>
    <row r="21" spans="1:7">
      <c r="A21" s="274" t="s">
        <v>384</v>
      </c>
      <c r="B21" s="262" t="s">
        <v>366</v>
      </c>
      <c r="C21" s="269"/>
      <c r="D21" s="269"/>
      <c r="E21" s="269"/>
      <c r="F21" s="267"/>
      <c r="G21" s="267"/>
    </row>
    <row r="22" spans="1:7" s="156" customFormat="1">
      <c r="A22" s="275" t="s">
        <v>385</v>
      </c>
      <c r="B22" s="276" t="s">
        <v>386</v>
      </c>
      <c r="C22" s="269"/>
      <c r="D22" s="269"/>
      <c r="E22" s="269"/>
      <c r="F22" s="270"/>
      <c r="G22" s="270"/>
    </row>
    <row r="23" spans="1:7">
      <c r="A23" s="275" t="s">
        <v>387</v>
      </c>
      <c r="B23" s="276" t="s">
        <v>386</v>
      </c>
      <c r="C23" s="275"/>
      <c r="D23" s="275"/>
      <c r="E23" s="275"/>
      <c r="F23" s="273"/>
      <c r="G23" s="271"/>
    </row>
    <row r="24" spans="1:7">
      <c r="A24" s="277" t="s">
        <v>388</v>
      </c>
      <c r="B24" s="278" t="s">
        <v>372</v>
      </c>
      <c r="C24" s="275"/>
      <c r="D24" s="275"/>
      <c r="E24" s="275"/>
      <c r="F24" s="271"/>
      <c r="G24" s="271"/>
    </row>
    <row r="25" spans="1:7">
      <c r="A25" s="275" t="s">
        <v>389</v>
      </c>
      <c r="B25" s="264" t="s">
        <v>379</v>
      </c>
      <c r="C25" s="275"/>
      <c r="D25" s="275"/>
      <c r="E25" s="275"/>
      <c r="F25" s="271"/>
      <c r="G25" s="271"/>
    </row>
    <row r="26" spans="1:7">
      <c r="A26" s="275" t="s">
        <v>390</v>
      </c>
      <c r="B26" s="264" t="s">
        <v>372</v>
      </c>
      <c r="C26" s="275"/>
      <c r="D26" s="275"/>
      <c r="E26" s="275"/>
      <c r="F26" s="271"/>
      <c r="G26" s="271"/>
    </row>
    <row r="27" spans="1:7">
      <c r="A27" s="275" t="s">
        <v>391</v>
      </c>
      <c r="B27" s="276" t="s">
        <v>386</v>
      </c>
      <c r="C27" s="275"/>
      <c r="D27" s="275"/>
      <c r="E27" s="275"/>
      <c r="F27" s="271"/>
      <c r="G27" s="271"/>
    </row>
    <row r="28" spans="1:7">
      <c r="A28" s="275" t="s">
        <v>392</v>
      </c>
      <c r="B28" s="264" t="s">
        <v>372</v>
      </c>
      <c r="C28" s="275"/>
      <c r="D28" s="275"/>
      <c r="E28" s="275"/>
      <c r="F28" s="271"/>
      <c r="G28" s="271"/>
    </row>
    <row r="29" spans="1:7">
      <c r="A29" s="279" t="s">
        <v>393</v>
      </c>
      <c r="B29" s="264" t="s">
        <v>372</v>
      </c>
      <c r="C29" s="279"/>
      <c r="D29" s="279"/>
      <c r="E29" s="279"/>
      <c r="F29" s="280"/>
      <c r="G29" s="280"/>
    </row>
    <row r="31" spans="1:7">
      <c r="D31" s="279"/>
    </row>
    <row r="32" spans="1:7">
      <c r="A32" s="737" t="s">
        <v>394</v>
      </c>
      <c r="B32" s="738"/>
      <c r="C32" s="739"/>
      <c r="D32" s="281"/>
    </row>
    <row r="33" spans="1:4" ht="14.4" thickBot="1"/>
    <row r="34" spans="1:4">
      <c r="A34" s="740" t="s">
        <v>395</v>
      </c>
      <c r="B34" s="741"/>
      <c r="C34" s="742"/>
      <c r="D34" s="282"/>
    </row>
    <row r="35" spans="1:4">
      <c r="A35" s="743"/>
      <c r="B35" s="744"/>
      <c r="C35" s="745"/>
      <c r="D35" s="282"/>
    </row>
    <row r="36" spans="1:4">
      <c r="A36" s="743"/>
      <c r="B36" s="744"/>
      <c r="C36" s="745"/>
      <c r="D36" s="282"/>
    </row>
    <row r="37" spans="1:4">
      <c r="A37" s="743"/>
      <c r="B37" s="744"/>
      <c r="C37" s="745"/>
      <c r="D37" s="282"/>
    </row>
    <row r="38" spans="1:4">
      <c r="A38" s="743"/>
      <c r="B38" s="744"/>
      <c r="C38" s="745"/>
      <c r="D38" s="282"/>
    </row>
    <row r="39" spans="1:4">
      <c r="A39" s="743"/>
      <c r="B39" s="744"/>
      <c r="C39" s="745"/>
      <c r="D39" s="282"/>
    </row>
    <row r="40" spans="1:4">
      <c r="A40" s="743"/>
      <c r="B40" s="744"/>
      <c r="C40" s="745"/>
      <c r="D40" s="282"/>
    </row>
    <row r="41" spans="1:4" ht="14.4" thickBot="1">
      <c r="A41" s="746"/>
      <c r="B41" s="747"/>
      <c r="C41" s="748"/>
      <c r="D41" s="282"/>
    </row>
    <row r="42" spans="1:4">
      <c r="B42" s="283"/>
      <c r="D42" s="284"/>
    </row>
    <row r="43" spans="1:4">
      <c r="A43" s="285" t="s">
        <v>396</v>
      </c>
      <c r="B43" s="285" t="s">
        <v>397</v>
      </c>
      <c r="C43" s="285" t="s">
        <v>398</v>
      </c>
    </row>
    <row r="44" spans="1:4" ht="55.2">
      <c r="A44" s="286" t="s">
        <v>399</v>
      </c>
      <c r="B44" s="286" t="s">
        <v>400</v>
      </c>
      <c r="C44" s="286" t="s">
        <v>401</v>
      </c>
    </row>
    <row r="45" spans="1:4" ht="96.6">
      <c r="A45" s="286" t="s">
        <v>402</v>
      </c>
      <c r="B45" s="286" t="s">
        <v>403</v>
      </c>
      <c r="C45" s="286" t="s">
        <v>404</v>
      </c>
    </row>
    <row r="46" spans="1:4" ht="55.2">
      <c r="A46" s="286" t="s">
        <v>405</v>
      </c>
      <c r="B46" s="287" t="s">
        <v>406</v>
      </c>
      <c r="C46" s="287" t="s">
        <v>407</v>
      </c>
    </row>
  </sheetData>
  <mergeCells count="2">
    <mergeCell ref="A32:C32"/>
    <mergeCell ref="A34:C41"/>
  </mergeCells>
  <phoneticPr fontId="104"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showGridLines="0" zoomScaleNormal="100" workbookViewId="0">
      <selection activeCell="E5" sqref="E5"/>
    </sheetView>
  </sheetViews>
  <sheetFormatPr defaultColWidth="9.109375" defaultRowHeight="13.2"/>
  <cols>
    <col min="1" max="1" width="10.44140625" style="121" customWidth="1"/>
    <col min="2" max="2" width="16.33203125" style="121" customWidth="1"/>
    <col min="3" max="3" width="9" style="121" bestFit="1" customWidth="1"/>
    <col min="4" max="4" width="9.88671875" style="121" bestFit="1" customWidth="1"/>
    <col min="5" max="5" width="14.5546875" style="121" bestFit="1" customWidth="1"/>
    <col min="6" max="6" width="60.109375" style="121" customWidth="1"/>
    <col min="7" max="16384" width="9.109375" style="121"/>
  </cols>
  <sheetData>
    <row r="1" spans="1:8" ht="72.75" customHeight="1"/>
    <row r="2" spans="1:8" ht="16.2" thickBot="1">
      <c r="A2" s="133" t="s">
        <v>124</v>
      </c>
      <c r="B2" s="122"/>
      <c r="C2" s="122"/>
      <c r="D2" s="122"/>
      <c r="E2" s="122"/>
      <c r="F2" s="122"/>
    </row>
    <row r="3" spans="1:8" ht="13.8" thickBot="1">
      <c r="A3" s="132" t="s">
        <v>94</v>
      </c>
      <c r="B3" s="131" t="s">
        <v>91</v>
      </c>
      <c r="C3" s="131" t="s">
        <v>92</v>
      </c>
      <c r="D3" s="131" t="s">
        <v>123</v>
      </c>
      <c r="E3" s="131" t="s">
        <v>93</v>
      </c>
      <c r="F3" s="130" t="s">
        <v>96</v>
      </c>
      <c r="G3" s="124"/>
      <c r="H3" s="124"/>
    </row>
    <row r="4" spans="1:8" ht="31.2">
      <c r="A4" s="129">
        <v>2</v>
      </c>
      <c r="B4" s="129" t="s">
        <v>125</v>
      </c>
      <c r="C4" s="129" t="s">
        <v>130</v>
      </c>
      <c r="D4" s="129"/>
      <c r="E4" s="129"/>
      <c r="F4" s="129"/>
    </row>
    <row r="5" spans="1:8" ht="31.2">
      <c r="A5" s="129">
        <v>3</v>
      </c>
      <c r="B5" s="129" t="s">
        <v>126</v>
      </c>
      <c r="C5" s="129" t="s">
        <v>127</v>
      </c>
      <c r="D5" s="129">
        <v>2012151807</v>
      </c>
      <c r="E5" s="134">
        <v>42768</v>
      </c>
      <c r="F5" s="129"/>
    </row>
    <row r="6" spans="1:8">
      <c r="A6" s="128"/>
      <c r="B6" s="127"/>
      <c r="C6" s="127"/>
      <c r="D6" s="126"/>
      <c r="E6" s="125"/>
      <c r="F6" s="125"/>
      <c r="G6" s="124"/>
      <c r="H6" s="124"/>
    </row>
    <row r="7" spans="1:8" ht="15.6">
      <c r="A7" s="123" t="s">
        <v>122</v>
      </c>
    </row>
    <row r="8" spans="1:8" ht="102.75" customHeight="1">
      <c r="A8" s="749" t="s">
        <v>128</v>
      </c>
      <c r="B8" s="749"/>
      <c r="C8" s="749"/>
      <c r="D8" s="749"/>
      <c r="E8" s="749"/>
      <c r="F8" s="749"/>
    </row>
    <row r="10" spans="1:8" ht="15.6">
      <c r="A10" s="123" t="s">
        <v>121</v>
      </c>
    </row>
    <row r="11" spans="1:8" ht="44.25" customHeight="1">
      <c r="A11" s="749" t="s">
        <v>120</v>
      </c>
      <c r="B11" s="749"/>
      <c r="C11" s="749"/>
      <c r="D11" s="749"/>
      <c r="E11" s="749"/>
      <c r="F11" s="749"/>
    </row>
    <row r="13" spans="1:8">
      <c r="A13" s="122"/>
      <c r="B13" s="122"/>
      <c r="C13" s="122"/>
      <c r="D13" s="122"/>
      <c r="E13" s="122"/>
      <c r="F13" s="122"/>
    </row>
  </sheetData>
  <sheetProtection sheet="1" objects="1" scenarios="1"/>
  <mergeCells count="2">
    <mergeCell ref="A8:F8"/>
    <mergeCell ref="A11:F11"/>
  </mergeCells>
  <phoneticPr fontId="104"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14"/>
  <sheetViews>
    <sheetView topLeftCell="B1" workbookViewId="0">
      <selection activeCell="J8" sqref="J8"/>
    </sheetView>
  </sheetViews>
  <sheetFormatPr defaultRowHeight="13.2"/>
  <cols>
    <col min="1" max="1" width="11.5546875" customWidth="1"/>
    <col min="2" max="2" width="13.44140625" customWidth="1"/>
    <col min="3" max="3" width="11" customWidth="1"/>
    <col min="5" max="5" width="26.5546875" customWidth="1"/>
    <col min="8" max="8" width="14.44140625" customWidth="1"/>
    <col min="9" max="9" width="55.109375" customWidth="1"/>
    <col min="10" max="10" width="53.44140625" customWidth="1"/>
    <col min="11" max="11" width="11" customWidth="1"/>
    <col min="12" max="12" width="18.109375" customWidth="1"/>
    <col min="13" max="13" width="14.5546875" customWidth="1"/>
    <col min="20" max="20" width="13" customWidth="1"/>
  </cols>
  <sheetData>
    <row r="1" spans="1:21" ht="17.399999999999999">
      <c r="A1" s="167" t="s">
        <v>6</v>
      </c>
      <c r="B1" s="163"/>
      <c r="C1" s="163"/>
      <c r="D1" s="163"/>
      <c r="E1" s="163"/>
      <c r="F1" s="163"/>
      <c r="G1" s="163"/>
      <c r="H1" s="163"/>
      <c r="I1" s="163"/>
      <c r="J1" s="203"/>
      <c r="K1" s="163"/>
      <c r="L1" s="163"/>
      <c r="M1" s="163"/>
      <c r="N1" s="163"/>
      <c r="O1" s="163"/>
      <c r="P1" s="163"/>
      <c r="Q1" s="163"/>
      <c r="R1" s="163"/>
      <c r="S1" s="163"/>
      <c r="T1" s="192"/>
      <c r="U1" s="192"/>
    </row>
    <row r="3" spans="1:21" ht="30">
      <c r="A3" s="164" t="s">
        <v>334</v>
      </c>
      <c r="B3" s="163"/>
      <c r="C3" s="163"/>
      <c r="D3" s="163"/>
      <c r="E3" s="163"/>
      <c r="F3" s="163"/>
      <c r="G3" s="163"/>
      <c r="H3" s="163"/>
      <c r="I3" s="163"/>
      <c r="J3" s="203"/>
      <c r="K3" s="163"/>
      <c r="L3" s="163"/>
      <c r="M3" s="163"/>
      <c r="N3" s="163"/>
      <c r="O3" s="163"/>
      <c r="P3" s="163"/>
      <c r="Q3" s="163"/>
      <c r="R3" s="163"/>
      <c r="S3" s="163"/>
    </row>
    <row r="4" spans="1:21">
      <c r="A4" s="163"/>
      <c r="B4" s="163"/>
      <c r="C4" s="163"/>
      <c r="D4" s="163"/>
      <c r="E4" s="163"/>
      <c r="F4" s="163"/>
      <c r="G4" s="163"/>
      <c r="H4" s="163"/>
      <c r="I4" s="163"/>
      <c r="J4" s="203"/>
      <c r="K4" s="163"/>
      <c r="L4" s="163"/>
      <c r="M4" s="163"/>
      <c r="N4" s="163"/>
      <c r="O4" s="163"/>
      <c r="P4" s="163"/>
      <c r="Q4" s="163"/>
      <c r="R4" s="163"/>
      <c r="S4" s="163"/>
    </row>
    <row r="5" spans="1:21">
      <c r="A5" s="163"/>
      <c r="B5" s="163"/>
      <c r="C5" s="163"/>
      <c r="D5" s="163"/>
      <c r="E5" s="163"/>
      <c r="F5" s="163"/>
      <c r="G5" s="163"/>
      <c r="H5" s="163"/>
      <c r="I5" s="163"/>
      <c r="J5" s="203"/>
      <c r="K5" s="163"/>
      <c r="L5" s="163"/>
      <c r="M5" s="163"/>
      <c r="N5" s="163"/>
      <c r="O5" s="163"/>
      <c r="P5" s="163"/>
      <c r="Q5" s="163"/>
      <c r="R5" s="163"/>
      <c r="S5" s="163"/>
    </row>
    <row r="6" spans="1:21" ht="27.6">
      <c r="A6" s="168" t="s">
        <v>184</v>
      </c>
      <c r="B6" s="168" t="s">
        <v>185</v>
      </c>
      <c r="C6" s="168" t="s">
        <v>186</v>
      </c>
      <c r="D6" s="168" t="s">
        <v>187</v>
      </c>
      <c r="E6" s="168" t="s">
        <v>188</v>
      </c>
      <c r="F6" s="168" t="s">
        <v>189</v>
      </c>
      <c r="G6" s="168" t="s">
        <v>190</v>
      </c>
      <c r="H6" s="168" t="s">
        <v>191</v>
      </c>
      <c r="I6" s="168" t="s">
        <v>192</v>
      </c>
      <c r="J6" s="168" t="s">
        <v>336</v>
      </c>
      <c r="K6" s="169" t="s">
        <v>193</v>
      </c>
      <c r="L6" s="169" t="s">
        <v>137</v>
      </c>
      <c r="M6" s="169" t="s">
        <v>194</v>
      </c>
      <c r="N6" s="163"/>
      <c r="O6" s="163"/>
      <c r="P6" s="163"/>
      <c r="Q6" s="163"/>
      <c r="R6" s="163"/>
      <c r="S6" s="163"/>
    </row>
    <row r="7" spans="1:21" ht="13.8">
      <c r="A7" s="165">
        <v>1</v>
      </c>
      <c r="B7" s="684">
        <v>43875</v>
      </c>
      <c r="C7" s="165" t="s">
        <v>154</v>
      </c>
      <c r="D7" s="165" t="s">
        <v>196</v>
      </c>
      <c r="E7" s="165" t="s">
        <v>1282</v>
      </c>
      <c r="F7" s="196" t="s">
        <v>180</v>
      </c>
      <c r="G7" s="196" t="s">
        <v>181</v>
      </c>
      <c r="H7" s="165" t="s">
        <v>1283</v>
      </c>
      <c r="I7" s="170" t="s">
        <v>1284</v>
      </c>
      <c r="J7" s="170"/>
      <c r="K7" s="165" t="s">
        <v>197</v>
      </c>
      <c r="L7" s="165" t="s">
        <v>1285</v>
      </c>
      <c r="M7" s="165"/>
      <c r="N7" s="163"/>
      <c r="O7" s="163"/>
      <c r="P7" s="163"/>
      <c r="Q7" s="163"/>
      <c r="R7" s="163"/>
      <c r="S7" s="163"/>
    </row>
    <row r="8" spans="1:21" ht="13.8">
      <c r="A8" s="165">
        <v>2</v>
      </c>
      <c r="B8" s="684">
        <v>43875</v>
      </c>
      <c r="C8" s="196" t="s">
        <v>154</v>
      </c>
      <c r="D8" s="196" t="s">
        <v>196</v>
      </c>
      <c r="E8" s="165" t="s">
        <v>1286</v>
      </c>
      <c r="F8" s="196" t="s">
        <v>180</v>
      </c>
      <c r="G8" s="196" t="s">
        <v>181</v>
      </c>
      <c r="H8" s="196" t="s">
        <v>1283</v>
      </c>
      <c r="I8" s="170" t="s">
        <v>1287</v>
      </c>
      <c r="J8" s="170"/>
      <c r="K8" s="165"/>
      <c r="L8" s="165"/>
      <c r="M8" s="165"/>
      <c r="N8" s="163"/>
      <c r="O8" s="163"/>
      <c r="P8" s="163"/>
      <c r="Q8" s="163"/>
      <c r="R8" s="163"/>
      <c r="S8" s="163"/>
    </row>
    <row r="9" spans="1:21" ht="13.8">
      <c r="A9" s="165"/>
      <c r="B9" s="165"/>
      <c r="C9" s="165"/>
      <c r="D9" s="165"/>
      <c r="E9" s="165"/>
      <c r="F9" s="196"/>
      <c r="G9" s="196"/>
      <c r="H9" s="165"/>
      <c r="I9" s="170"/>
      <c r="J9" s="170"/>
      <c r="K9" s="165"/>
      <c r="L9" s="165"/>
      <c r="M9" s="165"/>
      <c r="N9" s="163"/>
      <c r="O9" s="163"/>
      <c r="P9" s="163"/>
      <c r="Q9" s="163"/>
      <c r="R9" s="163"/>
      <c r="S9" s="163"/>
      <c r="T9" s="192"/>
      <c r="U9" s="192"/>
    </row>
    <row r="10" spans="1:21" ht="13.8">
      <c r="A10" s="165"/>
      <c r="B10" s="165"/>
      <c r="C10" s="165"/>
      <c r="D10" s="165"/>
      <c r="E10" s="165"/>
      <c r="F10" s="196"/>
      <c r="G10" s="196"/>
      <c r="H10" s="165"/>
      <c r="I10" s="170"/>
      <c r="J10" s="170"/>
      <c r="K10" s="165"/>
      <c r="L10" s="165"/>
      <c r="M10" s="165"/>
      <c r="N10" s="163"/>
      <c r="O10" s="163"/>
      <c r="P10" s="163"/>
      <c r="Q10" s="163"/>
      <c r="R10" s="163"/>
      <c r="S10" s="163"/>
      <c r="T10" s="192"/>
      <c r="U10" s="192"/>
    </row>
    <row r="11" spans="1:21" ht="13.8">
      <c r="A11" s="165"/>
      <c r="B11" s="165"/>
      <c r="C11" s="165"/>
      <c r="D11" s="165"/>
      <c r="E11" s="165"/>
      <c r="F11" s="196"/>
      <c r="G11" s="196"/>
      <c r="H11" s="165"/>
      <c r="I11" s="170"/>
      <c r="J11" s="170"/>
      <c r="K11" s="165"/>
      <c r="L11" s="165"/>
      <c r="M11" s="165"/>
      <c r="N11" s="163"/>
      <c r="O11" s="163"/>
      <c r="P11" s="163"/>
      <c r="Q11" s="163"/>
      <c r="R11" s="163"/>
      <c r="S11" s="163"/>
      <c r="T11" s="192"/>
      <c r="U11" s="192"/>
    </row>
    <row r="12" spans="1:21" ht="13.8">
      <c r="A12" s="165"/>
      <c r="B12" s="165"/>
      <c r="C12" s="165"/>
      <c r="D12" s="165"/>
      <c r="E12" s="165"/>
      <c r="F12" s="196"/>
      <c r="G12" s="196"/>
      <c r="H12" s="165"/>
      <c r="I12" s="170"/>
      <c r="J12" s="170"/>
      <c r="K12" s="165"/>
      <c r="L12" s="165"/>
      <c r="M12" s="165"/>
      <c r="N12" s="163"/>
      <c r="O12" s="163"/>
      <c r="P12" s="163"/>
      <c r="Q12" s="163"/>
      <c r="R12" s="163"/>
      <c r="S12" s="163"/>
      <c r="T12" s="192"/>
      <c r="U12" s="192"/>
    </row>
    <row r="13" spans="1:21" ht="13.8">
      <c r="A13" s="165"/>
      <c r="B13" s="165"/>
      <c r="C13" s="165"/>
      <c r="D13" s="165"/>
      <c r="E13" s="165"/>
      <c r="F13" s="196"/>
      <c r="G13" s="196"/>
      <c r="H13" s="165"/>
      <c r="I13" s="170"/>
      <c r="J13" s="170"/>
      <c r="K13" s="165"/>
      <c r="L13" s="165"/>
      <c r="M13" s="165"/>
      <c r="N13" s="163"/>
      <c r="O13" s="163"/>
      <c r="P13" s="163"/>
      <c r="Q13" s="163"/>
      <c r="R13" s="163"/>
      <c r="S13" s="163"/>
      <c r="T13" s="192"/>
      <c r="U13" s="192"/>
    </row>
    <row r="14" spans="1:21" ht="13.8">
      <c r="A14" s="165"/>
      <c r="B14" s="165"/>
      <c r="C14" s="165"/>
      <c r="D14" s="165"/>
      <c r="E14" s="165"/>
      <c r="F14" s="196"/>
      <c r="G14" s="196"/>
      <c r="H14" s="165"/>
      <c r="I14" s="170"/>
      <c r="J14" s="170"/>
      <c r="K14" s="165"/>
      <c r="L14" s="165"/>
      <c r="M14" s="165"/>
      <c r="N14" s="163"/>
      <c r="O14" s="163"/>
      <c r="P14" s="163"/>
      <c r="Q14" s="163"/>
      <c r="R14" s="163"/>
      <c r="S14" s="163"/>
      <c r="T14" s="192"/>
      <c r="U14" s="192"/>
    </row>
    <row r="15" spans="1:21" ht="13.8">
      <c r="A15" s="165"/>
      <c r="B15" s="165"/>
      <c r="C15" s="165"/>
      <c r="D15" s="165"/>
      <c r="E15" s="165"/>
      <c r="F15" s="196"/>
      <c r="G15" s="196"/>
      <c r="H15" s="165"/>
      <c r="I15" s="170"/>
      <c r="J15" s="170"/>
      <c r="K15" s="165"/>
      <c r="L15" s="165"/>
      <c r="M15" s="165"/>
      <c r="N15" s="163"/>
      <c r="O15" s="163"/>
      <c r="P15" s="163"/>
      <c r="Q15" s="163"/>
      <c r="R15" s="163"/>
      <c r="S15" s="163"/>
      <c r="T15" s="192"/>
      <c r="U15" s="192"/>
    </row>
    <row r="16" spans="1:21" ht="13.8">
      <c r="A16" s="165"/>
      <c r="B16" s="165"/>
      <c r="C16" s="165"/>
      <c r="D16" s="165"/>
      <c r="E16" s="165"/>
      <c r="F16" s="196"/>
      <c r="G16" s="196"/>
      <c r="H16" s="165"/>
      <c r="I16" s="170"/>
      <c r="J16" s="170"/>
      <c r="K16" s="165"/>
      <c r="L16" s="165"/>
      <c r="M16" s="165"/>
      <c r="N16" s="163"/>
      <c r="O16" s="163"/>
      <c r="P16" s="163"/>
      <c r="Q16" s="163"/>
      <c r="R16" s="163"/>
      <c r="S16" s="163"/>
      <c r="T16" s="192"/>
      <c r="U16" s="192"/>
    </row>
    <row r="17" spans="1:13" ht="13.8">
      <c r="A17" s="165"/>
      <c r="B17" s="165"/>
      <c r="C17" s="165"/>
      <c r="D17" s="165"/>
      <c r="E17" s="165"/>
      <c r="F17" s="196"/>
      <c r="G17" s="196"/>
      <c r="H17" s="165"/>
      <c r="I17" s="170"/>
      <c r="J17" s="170"/>
      <c r="K17" s="165"/>
      <c r="L17" s="165"/>
      <c r="M17" s="165"/>
    </row>
    <row r="18" spans="1:13" ht="13.8">
      <c r="A18" s="165"/>
      <c r="B18" s="165"/>
      <c r="C18" s="165"/>
      <c r="D18" s="165"/>
      <c r="E18" s="165"/>
      <c r="F18" s="196"/>
      <c r="G18" s="196"/>
      <c r="H18" s="165"/>
      <c r="I18" s="170"/>
      <c r="J18" s="170"/>
      <c r="K18" s="165"/>
      <c r="L18" s="165"/>
      <c r="M18" s="165"/>
    </row>
    <row r="19" spans="1:13" ht="13.8">
      <c r="A19" s="165"/>
      <c r="B19" s="165"/>
      <c r="C19" s="165"/>
      <c r="D19" s="165"/>
      <c r="E19" s="165"/>
      <c r="F19" s="196"/>
      <c r="G19" s="196"/>
      <c r="H19" s="165"/>
      <c r="I19" s="170"/>
      <c r="J19" s="170"/>
      <c r="K19" s="165"/>
      <c r="L19" s="165"/>
      <c r="M19" s="165"/>
    </row>
    <row r="20" spans="1:13" ht="13.8">
      <c r="A20" s="165"/>
      <c r="B20" s="165"/>
      <c r="C20" s="165"/>
      <c r="D20" s="165"/>
      <c r="E20" s="165"/>
      <c r="F20" s="196"/>
      <c r="G20" s="196"/>
      <c r="H20" s="165"/>
      <c r="I20" s="170"/>
      <c r="J20" s="170"/>
      <c r="K20" s="165"/>
      <c r="L20" s="165"/>
      <c r="M20" s="165"/>
    </row>
    <row r="21" spans="1:13" ht="13.8">
      <c r="A21" s="165"/>
      <c r="B21" s="165"/>
      <c r="C21" s="165"/>
      <c r="D21" s="165"/>
      <c r="E21" s="165"/>
      <c r="F21" s="196"/>
      <c r="G21" s="196"/>
      <c r="H21" s="165"/>
      <c r="I21" s="170"/>
      <c r="J21" s="170"/>
      <c r="K21" s="165"/>
      <c r="L21" s="165"/>
      <c r="M21" s="165"/>
    </row>
    <row r="22" spans="1:13" ht="13.8">
      <c r="A22" s="165"/>
      <c r="B22" s="165"/>
      <c r="C22" s="165"/>
      <c r="D22" s="165"/>
      <c r="E22" s="165"/>
      <c r="F22" s="196"/>
      <c r="G22" s="196"/>
      <c r="H22" s="165"/>
      <c r="I22" s="170"/>
      <c r="J22" s="170"/>
      <c r="K22" s="165"/>
      <c r="L22" s="165"/>
      <c r="M22" s="165"/>
    </row>
    <row r="23" spans="1:13" ht="13.8">
      <c r="A23" s="165"/>
      <c r="B23" s="165"/>
      <c r="C23" s="165"/>
      <c r="D23" s="165"/>
      <c r="E23" s="165"/>
      <c r="F23" s="196"/>
      <c r="G23" s="196"/>
      <c r="H23" s="165"/>
      <c r="I23" s="170"/>
      <c r="J23" s="170"/>
      <c r="K23" s="165"/>
      <c r="L23" s="165"/>
      <c r="M23" s="165"/>
    </row>
    <row r="24" spans="1:13" ht="13.8">
      <c r="A24" s="165"/>
      <c r="B24" s="165"/>
      <c r="C24" s="165"/>
      <c r="D24" s="165"/>
      <c r="E24" s="165"/>
      <c r="F24" s="196"/>
      <c r="G24" s="196"/>
      <c r="H24" s="165"/>
      <c r="I24" s="170"/>
      <c r="J24" s="170"/>
      <c r="K24" s="165"/>
      <c r="L24" s="165"/>
      <c r="M24" s="165"/>
    </row>
    <row r="25" spans="1:13" ht="13.8">
      <c r="A25" s="165"/>
      <c r="B25" s="165"/>
      <c r="C25" s="165"/>
      <c r="D25" s="165"/>
      <c r="E25" s="165"/>
      <c r="F25" s="196"/>
      <c r="G25" s="196"/>
      <c r="H25" s="165"/>
      <c r="I25" s="170"/>
      <c r="J25" s="170"/>
      <c r="K25" s="165"/>
      <c r="L25" s="165"/>
      <c r="M25" s="165"/>
    </row>
    <row r="26" spans="1:13" ht="13.8">
      <c r="A26" s="165"/>
      <c r="B26" s="165"/>
      <c r="C26" s="165"/>
      <c r="D26" s="165"/>
      <c r="E26" s="165"/>
      <c r="F26" s="196"/>
      <c r="G26" s="196"/>
      <c r="H26" s="165"/>
      <c r="I26" s="170"/>
      <c r="J26" s="170"/>
      <c r="K26" s="165"/>
      <c r="L26" s="165"/>
      <c r="M26" s="165"/>
    </row>
    <row r="27" spans="1:13" ht="13.8">
      <c r="A27" s="165"/>
      <c r="B27" s="165"/>
      <c r="C27" s="165"/>
      <c r="D27" s="165"/>
      <c r="E27" s="165"/>
      <c r="F27" s="196"/>
      <c r="G27" s="196"/>
      <c r="H27" s="165"/>
      <c r="I27" s="170"/>
      <c r="J27" s="170"/>
      <c r="K27" s="165"/>
      <c r="L27" s="165"/>
      <c r="M27" s="165"/>
    </row>
    <row r="28" spans="1:13" ht="13.8">
      <c r="A28" s="165"/>
      <c r="B28" s="165"/>
      <c r="C28" s="165"/>
      <c r="D28" s="165"/>
      <c r="E28" s="165"/>
      <c r="F28" s="196"/>
      <c r="G28" s="196"/>
      <c r="H28" s="165"/>
      <c r="I28" s="170"/>
      <c r="J28" s="170"/>
      <c r="K28" s="165"/>
      <c r="L28" s="165"/>
      <c r="M28" s="165"/>
    </row>
    <row r="29" spans="1:13" ht="13.8">
      <c r="A29" s="165"/>
      <c r="B29" s="165"/>
      <c r="C29" s="165"/>
      <c r="D29" s="165"/>
      <c r="E29" s="165"/>
      <c r="F29" s="196"/>
      <c r="G29" s="196"/>
      <c r="H29" s="165"/>
      <c r="I29" s="170"/>
      <c r="J29" s="170"/>
      <c r="K29" s="165"/>
      <c r="L29" s="165"/>
      <c r="M29" s="165"/>
    </row>
    <row r="30" spans="1:13" ht="13.8">
      <c r="A30" s="165"/>
      <c r="B30" s="165"/>
      <c r="C30" s="165"/>
      <c r="D30" s="165"/>
      <c r="E30" s="165"/>
      <c r="F30" s="196"/>
      <c r="G30" s="196"/>
      <c r="H30" s="165"/>
      <c r="I30" s="170"/>
      <c r="J30" s="170"/>
      <c r="K30" s="165"/>
      <c r="L30" s="165"/>
      <c r="M30" s="165"/>
    </row>
    <row r="31" spans="1:13" ht="13.8">
      <c r="A31" s="165"/>
      <c r="B31" s="165"/>
      <c r="C31" s="165"/>
      <c r="D31" s="165"/>
      <c r="E31" s="165"/>
      <c r="F31" s="196"/>
      <c r="G31" s="196"/>
      <c r="H31" s="165"/>
      <c r="I31" s="170"/>
      <c r="J31" s="170"/>
      <c r="K31" s="165"/>
      <c r="L31" s="165"/>
      <c r="M31" s="165"/>
    </row>
    <row r="32" spans="1:13" ht="13.8">
      <c r="A32" s="165"/>
      <c r="B32" s="165"/>
      <c r="C32" s="165"/>
      <c r="D32" s="165"/>
      <c r="E32" s="165"/>
      <c r="F32" s="196"/>
      <c r="G32" s="196"/>
      <c r="H32" s="165"/>
      <c r="I32" s="170"/>
      <c r="J32" s="170"/>
      <c r="K32" s="165"/>
      <c r="L32" s="165"/>
      <c r="M32" s="165"/>
    </row>
    <row r="33" spans="1:13" ht="13.8">
      <c r="A33" s="165"/>
      <c r="B33" s="165"/>
      <c r="C33" s="165"/>
      <c r="D33" s="165"/>
      <c r="E33" s="165"/>
      <c r="F33" s="196"/>
      <c r="G33" s="196"/>
      <c r="H33" s="165"/>
      <c r="I33" s="170"/>
      <c r="J33" s="170"/>
      <c r="K33" s="165"/>
      <c r="L33" s="165"/>
      <c r="M33" s="165"/>
    </row>
    <row r="34" spans="1:13" ht="13.8">
      <c r="A34" s="165"/>
      <c r="B34" s="165"/>
      <c r="C34" s="165"/>
      <c r="D34" s="165"/>
      <c r="E34" s="165"/>
      <c r="F34" s="196"/>
      <c r="G34" s="196"/>
      <c r="H34" s="165"/>
      <c r="I34" s="170"/>
      <c r="J34" s="170"/>
      <c r="K34" s="165"/>
      <c r="L34" s="165"/>
      <c r="M34" s="165"/>
    </row>
    <row r="35" spans="1:13" ht="13.8">
      <c r="A35" s="165"/>
      <c r="B35" s="165"/>
      <c r="C35" s="165"/>
      <c r="D35" s="165"/>
      <c r="E35" s="165"/>
      <c r="F35" s="196"/>
      <c r="G35" s="196"/>
      <c r="H35" s="165"/>
      <c r="I35" s="170"/>
      <c r="J35" s="170"/>
      <c r="K35" s="165"/>
      <c r="L35" s="165"/>
      <c r="M35" s="165"/>
    </row>
    <row r="36" spans="1:13" ht="13.8">
      <c r="A36" s="165"/>
      <c r="B36" s="165"/>
      <c r="C36" s="165"/>
      <c r="D36" s="165"/>
      <c r="E36" s="165"/>
      <c r="F36" s="196"/>
      <c r="G36" s="196"/>
      <c r="H36" s="165"/>
      <c r="I36" s="170"/>
      <c r="J36" s="170"/>
      <c r="K36" s="165"/>
      <c r="L36" s="165"/>
      <c r="M36" s="165"/>
    </row>
    <row r="37" spans="1:13" ht="13.8">
      <c r="A37" s="165"/>
      <c r="B37" s="165"/>
      <c r="C37" s="165"/>
      <c r="D37" s="165"/>
      <c r="E37" s="165"/>
      <c r="F37" s="196"/>
      <c r="G37" s="196"/>
      <c r="H37" s="165"/>
      <c r="I37" s="170"/>
      <c r="J37" s="170"/>
      <c r="K37" s="165"/>
      <c r="L37" s="165"/>
      <c r="M37" s="165"/>
    </row>
    <row r="38" spans="1:13" ht="13.8">
      <c r="A38" s="165"/>
      <c r="B38" s="165"/>
      <c r="C38" s="165"/>
      <c r="D38" s="165"/>
      <c r="E38" s="165"/>
      <c r="F38" s="196"/>
      <c r="G38" s="196"/>
      <c r="H38" s="165"/>
      <c r="I38" s="170"/>
      <c r="J38" s="170"/>
      <c r="K38" s="165"/>
      <c r="L38" s="165"/>
      <c r="M38" s="165"/>
    </row>
    <row r="39" spans="1:13" ht="13.8">
      <c r="A39" s="165"/>
      <c r="B39" s="165"/>
      <c r="C39" s="165"/>
      <c r="D39" s="165"/>
      <c r="E39" s="165"/>
      <c r="F39" s="196"/>
      <c r="G39" s="196"/>
      <c r="H39" s="165"/>
      <c r="I39" s="170"/>
      <c r="J39" s="170"/>
      <c r="K39" s="165"/>
      <c r="L39" s="165"/>
      <c r="M39" s="165"/>
    </row>
    <row r="40" spans="1:13" ht="13.8">
      <c r="A40" s="165"/>
      <c r="B40" s="165"/>
      <c r="C40" s="165"/>
      <c r="D40" s="165"/>
      <c r="E40" s="165"/>
      <c r="F40" s="196"/>
      <c r="G40" s="196"/>
      <c r="H40" s="165"/>
      <c r="I40" s="170"/>
      <c r="J40" s="170"/>
      <c r="K40" s="165"/>
      <c r="L40" s="165"/>
      <c r="M40" s="165"/>
    </row>
    <row r="41" spans="1:13" ht="13.8">
      <c r="A41" s="165"/>
      <c r="B41" s="165"/>
      <c r="C41" s="165"/>
      <c r="D41" s="165"/>
      <c r="E41" s="165"/>
      <c r="F41" s="196"/>
      <c r="G41" s="196"/>
      <c r="H41" s="165"/>
      <c r="I41" s="170"/>
      <c r="J41" s="170"/>
      <c r="K41" s="165"/>
      <c r="L41" s="165"/>
      <c r="M41" s="165"/>
    </row>
    <row r="42" spans="1:13" ht="13.8">
      <c r="A42" s="165"/>
      <c r="B42" s="165"/>
      <c r="C42" s="165"/>
      <c r="D42" s="165"/>
      <c r="E42" s="165"/>
      <c r="F42" s="196"/>
      <c r="G42" s="196"/>
      <c r="H42" s="165"/>
      <c r="I42" s="170"/>
      <c r="J42" s="170"/>
      <c r="K42" s="165"/>
      <c r="L42" s="165"/>
      <c r="M42" s="165"/>
    </row>
    <row r="43" spans="1:13" ht="13.8">
      <c r="A43" s="165"/>
      <c r="B43" s="165"/>
      <c r="C43" s="165"/>
      <c r="D43" s="165"/>
      <c r="E43" s="165"/>
      <c r="F43" s="196"/>
      <c r="G43" s="196"/>
      <c r="H43" s="165"/>
      <c r="I43" s="170"/>
      <c r="J43" s="170"/>
      <c r="K43" s="165"/>
      <c r="L43" s="165"/>
      <c r="M43" s="165"/>
    </row>
    <row r="44" spans="1:13" ht="13.8">
      <c r="A44" s="165"/>
      <c r="B44" s="165"/>
      <c r="C44" s="165"/>
      <c r="D44" s="165"/>
      <c r="E44" s="165"/>
      <c r="F44" s="196"/>
      <c r="G44" s="196"/>
      <c r="H44" s="165"/>
      <c r="I44" s="170"/>
      <c r="J44" s="170"/>
      <c r="K44" s="165"/>
      <c r="L44" s="165"/>
      <c r="M44" s="165"/>
    </row>
    <row r="45" spans="1:13" ht="13.8">
      <c r="A45" s="165"/>
      <c r="B45" s="165"/>
      <c r="C45" s="165"/>
      <c r="D45" s="165"/>
      <c r="E45" s="165"/>
      <c r="F45" s="196"/>
      <c r="G45" s="196"/>
      <c r="H45" s="165"/>
      <c r="I45" s="170"/>
      <c r="J45" s="170"/>
      <c r="K45" s="165"/>
      <c r="L45" s="165"/>
      <c r="M45" s="165"/>
    </row>
    <row r="46" spans="1:13" ht="13.8">
      <c r="A46" s="165"/>
      <c r="B46" s="165"/>
      <c r="C46" s="165"/>
      <c r="D46" s="165"/>
      <c r="E46" s="165"/>
      <c r="F46" s="196"/>
      <c r="G46" s="196"/>
      <c r="H46" s="165"/>
      <c r="I46" s="170"/>
      <c r="J46" s="170"/>
      <c r="K46" s="165"/>
      <c r="L46" s="165"/>
      <c r="M46" s="165"/>
    </row>
    <row r="47" spans="1:13" ht="13.8">
      <c r="A47" s="165"/>
      <c r="B47" s="165"/>
      <c r="C47" s="165"/>
      <c r="D47" s="165"/>
      <c r="E47" s="165"/>
      <c r="F47" s="196"/>
      <c r="G47" s="196"/>
      <c r="H47" s="165"/>
      <c r="I47" s="170"/>
      <c r="J47" s="170"/>
      <c r="K47" s="165"/>
      <c r="L47" s="165"/>
      <c r="M47" s="165"/>
    </row>
    <row r="48" spans="1:13" ht="13.8">
      <c r="A48" s="165"/>
      <c r="B48" s="165"/>
      <c r="C48" s="165"/>
      <c r="D48" s="165"/>
      <c r="E48" s="165"/>
      <c r="F48" s="196"/>
      <c r="G48" s="196"/>
      <c r="H48" s="165"/>
      <c r="I48" s="170"/>
      <c r="J48" s="170"/>
      <c r="K48" s="165"/>
      <c r="L48" s="165"/>
      <c r="M48" s="165"/>
    </row>
    <row r="49" spans="1:13" ht="13.8">
      <c r="A49" s="165"/>
      <c r="B49" s="165"/>
      <c r="C49" s="165"/>
      <c r="D49" s="165"/>
      <c r="E49" s="165"/>
      <c r="F49" s="196"/>
      <c r="G49" s="196"/>
      <c r="H49" s="165"/>
      <c r="I49" s="170"/>
      <c r="J49" s="170"/>
      <c r="K49" s="165"/>
      <c r="L49" s="165"/>
      <c r="M49" s="165"/>
    </row>
    <row r="50" spans="1:13" ht="13.8">
      <c r="A50" s="165"/>
      <c r="B50" s="165"/>
      <c r="C50" s="165"/>
      <c r="D50" s="165"/>
      <c r="E50" s="165"/>
      <c r="F50" s="196"/>
      <c r="G50" s="196"/>
      <c r="H50" s="165"/>
      <c r="I50" s="170"/>
      <c r="J50" s="170"/>
      <c r="K50" s="165"/>
      <c r="L50" s="165"/>
      <c r="M50" s="165"/>
    </row>
    <row r="51" spans="1:13" ht="13.8">
      <c r="A51" s="165"/>
      <c r="B51" s="165"/>
      <c r="C51" s="165"/>
      <c r="D51" s="165"/>
      <c r="E51" s="165"/>
      <c r="F51" s="196"/>
      <c r="G51" s="196"/>
      <c r="H51" s="165"/>
      <c r="I51" s="170"/>
      <c r="J51" s="170"/>
      <c r="K51" s="165"/>
      <c r="L51" s="165"/>
      <c r="M51" s="165"/>
    </row>
    <row r="52" spans="1:13" ht="13.8">
      <c r="A52" s="165"/>
      <c r="B52" s="165"/>
      <c r="C52" s="165"/>
      <c r="D52" s="165"/>
      <c r="E52" s="165"/>
      <c r="F52" s="196"/>
      <c r="G52" s="196"/>
      <c r="H52" s="165"/>
      <c r="I52" s="170"/>
      <c r="J52" s="170"/>
      <c r="K52" s="165"/>
      <c r="L52" s="165"/>
      <c r="M52" s="165"/>
    </row>
    <row r="53" spans="1:13" ht="13.8">
      <c r="A53" s="165"/>
      <c r="B53" s="165"/>
      <c r="C53" s="165"/>
      <c r="D53" s="165"/>
      <c r="E53" s="165"/>
      <c r="F53" s="196"/>
      <c r="G53" s="196"/>
      <c r="H53" s="165"/>
      <c r="I53" s="170"/>
      <c r="J53" s="170"/>
      <c r="K53" s="165"/>
      <c r="L53" s="165"/>
      <c r="M53" s="165"/>
    </row>
    <row r="54" spans="1:13" ht="13.8">
      <c r="A54" s="165"/>
      <c r="B54" s="165"/>
      <c r="C54" s="165"/>
      <c r="D54" s="165"/>
      <c r="E54" s="165"/>
      <c r="F54" s="196"/>
      <c r="G54" s="196"/>
      <c r="H54" s="165"/>
      <c r="I54" s="170"/>
      <c r="J54" s="170"/>
      <c r="K54" s="165"/>
      <c r="L54" s="165"/>
      <c r="M54" s="165"/>
    </row>
    <row r="55" spans="1:13" ht="13.8">
      <c r="A55" s="165"/>
      <c r="B55" s="165"/>
      <c r="C55" s="165"/>
      <c r="D55" s="165"/>
      <c r="E55" s="165"/>
      <c r="F55" s="196"/>
      <c r="G55" s="196"/>
      <c r="H55" s="165"/>
      <c r="I55" s="170"/>
      <c r="J55" s="170"/>
      <c r="K55" s="165"/>
      <c r="L55" s="165"/>
      <c r="M55" s="165"/>
    </row>
    <row r="56" spans="1:13" ht="13.8">
      <c r="A56" s="165"/>
      <c r="B56" s="165"/>
      <c r="C56" s="165"/>
      <c r="D56" s="165"/>
      <c r="E56" s="165"/>
      <c r="F56" s="196"/>
      <c r="G56" s="196"/>
      <c r="H56" s="165"/>
      <c r="I56" s="170"/>
      <c r="J56" s="170"/>
      <c r="K56" s="165"/>
      <c r="L56" s="165"/>
      <c r="M56" s="165"/>
    </row>
    <row r="57" spans="1:13" ht="13.8">
      <c r="A57" s="165"/>
      <c r="B57" s="165"/>
      <c r="C57" s="165"/>
      <c r="D57" s="165"/>
      <c r="E57" s="165"/>
      <c r="F57" s="196"/>
      <c r="G57" s="196"/>
      <c r="H57" s="165"/>
      <c r="I57" s="170"/>
      <c r="J57" s="170"/>
      <c r="K57" s="165"/>
      <c r="L57" s="165"/>
      <c r="M57" s="165"/>
    </row>
    <row r="58" spans="1:13" ht="13.8">
      <c r="A58" s="165"/>
      <c r="B58" s="165"/>
      <c r="C58" s="165"/>
      <c r="D58" s="165"/>
      <c r="E58" s="165"/>
      <c r="F58" s="196"/>
      <c r="G58" s="196"/>
      <c r="H58" s="165"/>
      <c r="I58" s="170"/>
      <c r="J58" s="170"/>
      <c r="K58" s="165"/>
      <c r="L58" s="165"/>
      <c r="M58" s="165"/>
    </row>
    <row r="59" spans="1:13" ht="13.8">
      <c r="A59" s="165"/>
      <c r="B59" s="165"/>
      <c r="C59" s="165"/>
      <c r="D59" s="165"/>
      <c r="E59" s="165"/>
      <c r="F59" s="196"/>
      <c r="G59" s="196"/>
      <c r="H59" s="165"/>
      <c r="I59" s="170"/>
      <c r="J59" s="170"/>
      <c r="K59" s="165"/>
      <c r="L59" s="165"/>
      <c r="M59" s="165"/>
    </row>
    <row r="60" spans="1:13" ht="13.8">
      <c r="A60" s="165"/>
      <c r="B60" s="165"/>
      <c r="C60" s="165"/>
      <c r="D60" s="165"/>
      <c r="E60" s="165"/>
      <c r="F60" s="196"/>
      <c r="G60" s="196"/>
      <c r="H60" s="165"/>
      <c r="I60" s="170"/>
      <c r="J60" s="170"/>
      <c r="K60" s="165"/>
      <c r="L60" s="165"/>
      <c r="M60" s="165"/>
    </row>
    <row r="61" spans="1:13" ht="13.8">
      <c r="A61" s="165"/>
      <c r="B61" s="165"/>
      <c r="C61" s="165"/>
      <c r="D61" s="165"/>
      <c r="E61" s="165"/>
      <c r="F61" s="196"/>
      <c r="G61" s="196"/>
      <c r="H61" s="165"/>
      <c r="I61" s="170"/>
      <c r="J61" s="170"/>
      <c r="K61" s="165"/>
      <c r="L61" s="165"/>
      <c r="M61" s="165"/>
    </row>
    <row r="62" spans="1:13" ht="13.8">
      <c r="A62" s="165"/>
      <c r="B62" s="165"/>
      <c r="C62" s="165"/>
      <c r="D62" s="165"/>
      <c r="E62" s="165"/>
      <c r="F62" s="196"/>
      <c r="G62" s="196"/>
      <c r="H62" s="165"/>
      <c r="I62" s="170"/>
      <c r="J62" s="170"/>
      <c r="K62" s="165"/>
      <c r="L62" s="165"/>
      <c r="M62" s="165"/>
    </row>
    <row r="63" spans="1:13" ht="13.8">
      <c r="A63" s="165"/>
      <c r="B63" s="165"/>
      <c r="C63" s="165"/>
      <c r="D63" s="165"/>
      <c r="E63" s="165"/>
      <c r="F63" s="196"/>
      <c r="G63" s="196"/>
      <c r="H63" s="165"/>
      <c r="I63" s="170"/>
      <c r="J63" s="170"/>
      <c r="K63" s="165"/>
      <c r="L63" s="165"/>
      <c r="M63" s="165"/>
    </row>
    <row r="64" spans="1:13" ht="13.8">
      <c r="A64" s="165"/>
      <c r="B64" s="165"/>
      <c r="C64" s="165"/>
      <c r="D64" s="165"/>
      <c r="E64" s="165"/>
      <c r="F64" s="196"/>
      <c r="G64" s="196"/>
      <c r="H64" s="165"/>
      <c r="I64" s="170"/>
      <c r="J64" s="170"/>
      <c r="K64" s="165"/>
      <c r="L64" s="165"/>
      <c r="M64" s="165"/>
    </row>
    <row r="65" spans="1:13" ht="13.8">
      <c r="A65" s="165"/>
      <c r="B65" s="165"/>
      <c r="C65" s="165"/>
      <c r="D65" s="165"/>
      <c r="E65" s="165"/>
      <c r="F65" s="196"/>
      <c r="G65" s="196"/>
      <c r="H65" s="165"/>
      <c r="I65" s="170"/>
      <c r="J65" s="170"/>
      <c r="K65" s="165"/>
      <c r="L65" s="165"/>
      <c r="M65" s="165"/>
    </row>
    <row r="66" spans="1:13" ht="13.8">
      <c r="A66" s="165"/>
      <c r="B66" s="165"/>
      <c r="C66" s="165"/>
      <c r="D66" s="165"/>
      <c r="E66" s="165"/>
      <c r="F66" s="196"/>
      <c r="G66" s="196"/>
      <c r="H66" s="165"/>
      <c r="I66" s="170"/>
      <c r="J66" s="170"/>
      <c r="K66" s="165"/>
      <c r="L66" s="165"/>
      <c r="M66" s="165"/>
    </row>
    <row r="67" spans="1:13" ht="13.8">
      <c r="A67" s="165"/>
      <c r="B67" s="165"/>
      <c r="C67" s="165"/>
      <c r="D67" s="165"/>
      <c r="E67" s="165"/>
      <c r="F67" s="196"/>
      <c r="G67" s="196"/>
      <c r="H67" s="165"/>
      <c r="I67" s="170"/>
      <c r="J67" s="170"/>
      <c r="K67" s="165"/>
      <c r="L67" s="165"/>
      <c r="M67" s="165"/>
    </row>
    <row r="68" spans="1:13" ht="13.8">
      <c r="A68" s="165"/>
      <c r="B68" s="165"/>
      <c r="C68" s="165"/>
      <c r="D68" s="165"/>
      <c r="E68" s="165"/>
      <c r="F68" s="196"/>
      <c r="G68" s="196"/>
      <c r="H68" s="165"/>
      <c r="I68" s="170"/>
      <c r="J68" s="170"/>
      <c r="K68" s="165"/>
      <c r="L68" s="165"/>
      <c r="M68" s="165"/>
    </row>
    <row r="69" spans="1:13" ht="13.8">
      <c r="A69" s="165"/>
      <c r="B69" s="165"/>
      <c r="C69" s="165"/>
      <c r="D69" s="165"/>
      <c r="E69" s="165"/>
      <c r="F69" s="196"/>
      <c r="G69" s="196"/>
      <c r="H69" s="165"/>
      <c r="I69" s="170"/>
      <c r="J69" s="170"/>
      <c r="K69" s="165"/>
      <c r="L69" s="165"/>
      <c r="M69" s="165"/>
    </row>
    <row r="70" spans="1:13" ht="13.8">
      <c r="A70" s="165"/>
      <c r="B70" s="165"/>
      <c r="C70" s="165"/>
      <c r="D70" s="165"/>
      <c r="E70" s="165"/>
      <c r="F70" s="196"/>
      <c r="G70" s="196"/>
      <c r="H70" s="165"/>
      <c r="I70" s="170"/>
      <c r="J70" s="170"/>
      <c r="K70" s="165"/>
      <c r="L70" s="165"/>
      <c r="M70" s="165"/>
    </row>
    <row r="71" spans="1:13" ht="13.8">
      <c r="A71" s="165"/>
      <c r="B71" s="165"/>
      <c r="C71" s="165"/>
      <c r="D71" s="165"/>
      <c r="E71" s="165"/>
      <c r="F71" s="196"/>
      <c r="G71" s="196"/>
      <c r="H71" s="165"/>
      <c r="I71" s="170"/>
      <c r="J71" s="170"/>
      <c r="K71" s="165"/>
      <c r="L71" s="165"/>
      <c r="M71" s="165"/>
    </row>
    <row r="72" spans="1:13" ht="13.8">
      <c r="A72" s="165"/>
      <c r="B72" s="165"/>
      <c r="C72" s="165"/>
      <c r="D72" s="165"/>
      <c r="E72" s="165"/>
      <c r="F72" s="196"/>
      <c r="G72" s="196"/>
      <c r="H72" s="165"/>
      <c r="I72" s="170"/>
      <c r="J72" s="170"/>
      <c r="K72" s="165"/>
      <c r="L72" s="165"/>
      <c r="M72" s="165"/>
    </row>
    <row r="73" spans="1:13" ht="13.8">
      <c r="A73" s="165"/>
      <c r="B73" s="165"/>
      <c r="C73" s="165"/>
      <c r="D73" s="165"/>
      <c r="E73" s="165"/>
      <c r="F73" s="196"/>
      <c r="G73" s="196"/>
      <c r="H73" s="165"/>
      <c r="I73" s="170"/>
      <c r="J73" s="170"/>
      <c r="K73" s="165"/>
      <c r="L73" s="165"/>
      <c r="M73" s="165"/>
    </row>
    <row r="74" spans="1:13" ht="13.8">
      <c r="A74" s="165"/>
      <c r="B74" s="165"/>
      <c r="C74" s="165"/>
      <c r="D74" s="165"/>
      <c r="E74" s="165"/>
      <c r="F74" s="196"/>
      <c r="G74" s="196"/>
      <c r="H74" s="165"/>
      <c r="I74" s="170"/>
      <c r="J74" s="170"/>
      <c r="K74" s="165"/>
      <c r="L74" s="165"/>
      <c r="M74" s="165"/>
    </row>
    <row r="75" spans="1:13" ht="13.8">
      <c r="A75" s="165"/>
      <c r="B75" s="165"/>
      <c r="C75" s="165"/>
      <c r="D75" s="165"/>
      <c r="E75" s="165"/>
      <c r="F75" s="196"/>
      <c r="G75" s="196"/>
      <c r="H75" s="165"/>
      <c r="I75" s="170"/>
      <c r="J75" s="170"/>
      <c r="K75" s="165"/>
      <c r="L75" s="165"/>
      <c r="M75" s="165"/>
    </row>
    <row r="76" spans="1:13" ht="13.8">
      <c r="A76" s="165"/>
      <c r="B76" s="165"/>
      <c r="C76" s="165"/>
      <c r="D76" s="165"/>
      <c r="E76" s="165"/>
      <c r="F76" s="196"/>
      <c r="G76" s="196"/>
      <c r="H76" s="165"/>
      <c r="I76" s="170"/>
      <c r="J76" s="170"/>
      <c r="K76" s="165"/>
      <c r="L76" s="165"/>
      <c r="M76" s="165"/>
    </row>
    <row r="77" spans="1:13" ht="13.8">
      <c r="A77" s="165"/>
      <c r="B77" s="165"/>
      <c r="C77" s="165"/>
      <c r="D77" s="165"/>
      <c r="E77" s="165"/>
      <c r="F77" s="196"/>
      <c r="G77" s="196"/>
      <c r="H77" s="165"/>
      <c r="I77" s="170"/>
      <c r="J77" s="170"/>
      <c r="K77" s="165"/>
      <c r="L77" s="165"/>
      <c r="M77" s="165"/>
    </row>
    <row r="78" spans="1:13" ht="13.8">
      <c r="A78" s="165"/>
      <c r="B78" s="165"/>
      <c r="C78" s="165"/>
      <c r="D78" s="165"/>
      <c r="E78" s="165"/>
      <c r="F78" s="196"/>
      <c r="G78" s="196"/>
      <c r="H78" s="165"/>
      <c r="I78" s="170"/>
      <c r="J78" s="170"/>
      <c r="K78" s="165"/>
      <c r="L78" s="165"/>
      <c r="M78" s="165"/>
    </row>
    <row r="79" spans="1:13" ht="13.8">
      <c r="A79" s="165"/>
      <c r="B79" s="165"/>
      <c r="C79" s="165"/>
      <c r="D79" s="165"/>
      <c r="E79" s="165"/>
      <c r="F79" s="196"/>
      <c r="G79" s="196"/>
      <c r="H79" s="165"/>
      <c r="I79" s="170"/>
      <c r="J79" s="170"/>
      <c r="K79" s="165"/>
      <c r="L79" s="165"/>
      <c r="M79" s="165"/>
    </row>
    <row r="80" spans="1:13" ht="13.8">
      <c r="A80" s="165"/>
      <c r="B80" s="165"/>
      <c r="C80" s="165"/>
      <c r="D80" s="165"/>
      <c r="E80" s="165"/>
      <c r="F80" s="196"/>
      <c r="G80" s="196"/>
      <c r="H80" s="165"/>
      <c r="I80" s="170"/>
      <c r="J80" s="170"/>
      <c r="K80" s="165"/>
      <c r="L80" s="165"/>
      <c r="M80" s="165"/>
    </row>
    <row r="81" spans="1:13" ht="13.8">
      <c r="A81" s="165"/>
      <c r="B81" s="165"/>
      <c r="C81" s="165"/>
      <c r="D81" s="165"/>
      <c r="E81" s="165"/>
      <c r="F81" s="196"/>
      <c r="G81" s="196"/>
      <c r="H81" s="165"/>
      <c r="I81" s="170"/>
      <c r="J81" s="170"/>
      <c r="K81" s="165"/>
      <c r="L81" s="165"/>
      <c r="M81" s="165"/>
    </row>
    <row r="82" spans="1:13" ht="13.8">
      <c r="A82" s="165"/>
      <c r="B82" s="165"/>
      <c r="C82" s="165"/>
      <c r="D82" s="165"/>
      <c r="E82" s="165"/>
      <c r="F82" s="196"/>
      <c r="G82" s="196"/>
      <c r="H82" s="165"/>
      <c r="I82" s="170"/>
      <c r="J82" s="170"/>
      <c r="K82" s="165"/>
      <c r="L82" s="165"/>
      <c r="M82" s="165"/>
    </row>
    <row r="83" spans="1:13" ht="13.8">
      <c r="A83" s="165"/>
      <c r="B83" s="165"/>
      <c r="C83" s="165"/>
      <c r="D83" s="165"/>
      <c r="E83" s="165"/>
      <c r="F83" s="196"/>
      <c r="G83" s="196"/>
      <c r="H83" s="165"/>
      <c r="I83" s="170"/>
      <c r="J83" s="170"/>
      <c r="K83" s="165"/>
      <c r="L83" s="165"/>
      <c r="M83" s="165"/>
    </row>
    <row r="84" spans="1:13" ht="13.8">
      <c r="A84" s="165"/>
      <c r="B84" s="165"/>
      <c r="C84" s="165"/>
      <c r="D84" s="165"/>
      <c r="E84" s="165"/>
      <c r="F84" s="196"/>
      <c r="G84" s="196"/>
      <c r="H84" s="165"/>
      <c r="I84" s="170"/>
      <c r="J84" s="170"/>
      <c r="K84" s="165"/>
      <c r="L84" s="165"/>
      <c r="M84" s="165"/>
    </row>
    <row r="85" spans="1:13" ht="13.8">
      <c r="A85" s="165"/>
      <c r="B85" s="165"/>
      <c r="C85" s="165"/>
      <c r="D85" s="165"/>
      <c r="E85" s="165"/>
      <c r="F85" s="196"/>
      <c r="G85" s="196"/>
      <c r="H85" s="165"/>
      <c r="I85" s="170"/>
      <c r="J85" s="170"/>
      <c r="K85" s="165"/>
      <c r="L85" s="165"/>
      <c r="M85" s="165"/>
    </row>
    <row r="86" spans="1:13" ht="13.8">
      <c r="A86" s="165"/>
      <c r="B86" s="165"/>
      <c r="C86" s="165"/>
      <c r="D86" s="165"/>
      <c r="E86" s="165"/>
      <c r="F86" s="196"/>
      <c r="G86" s="196"/>
      <c r="H86" s="165"/>
      <c r="I86" s="170"/>
      <c r="J86" s="170"/>
      <c r="K86" s="165"/>
      <c r="L86" s="165"/>
      <c r="M86" s="165"/>
    </row>
    <row r="87" spans="1:13" ht="13.8">
      <c r="A87" s="165"/>
      <c r="B87" s="165"/>
      <c r="C87" s="165"/>
      <c r="D87" s="165"/>
      <c r="E87" s="165"/>
      <c r="F87" s="196"/>
      <c r="G87" s="196"/>
      <c r="H87" s="165"/>
      <c r="I87" s="170"/>
      <c r="J87" s="170"/>
      <c r="K87" s="165"/>
      <c r="L87" s="165"/>
      <c r="M87" s="165"/>
    </row>
    <row r="88" spans="1:13" ht="13.8">
      <c r="A88" s="165"/>
      <c r="B88" s="165"/>
      <c r="C88" s="165"/>
      <c r="D88" s="165"/>
      <c r="E88" s="165"/>
      <c r="F88" s="196"/>
      <c r="G88" s="196"/>
      <c r="H88" s="165"/>
      <c r="I88" s="170"/>
      <c r="J88" s="170"/>
      <c r="K88" s="165"/>
      <c r="L88" s="165"/>
      <c r="M88" s="165"/>
    </row>
    <row r="89" spans="1:13" ht="13.8">
      <c r="A89" s="165"/>
      <c r="B89" s="165"/>
      <c r="C89" s="165"/>
      <c r="D89" s="165"/>
      <c r="E89" s="165"/>
      <c r="F89" s="196"/>
      <c r="G89" s="196"/>
      <c r="H89" s="165"/>
      <c r="I89" s="170"/>
      <c r="J89" s="170"/>
      <c r="K89" s="165"/>
      <c r="L89" s="165"/>
      <c r="M89" s="165"/>
    </row>
    <row r="90" spans="1:13" ht="13.8">
      <c r="A90" s="165"/>
      <c r="B90" s="165"/>
      <c r="C90" s="165"/>
      <c r="D90" s="165"/>
      <c r="E90" s="165"/>
      <c r="F90" s="196"/>
      <c r="G90" s="196"/>
      <c r="H90" s="165"/>
      <c r="I90" s="170"/>
      <c r="J90" s="170"/>
      <c r="K90" s="165"/>
      <c r="L90" s="165"/>
      <c r="M90" s="165"/>
    </row>
    <row r="91" spans="1:13" ht="13.8">
      <c r="A91" s="165"/>
      <c r="B91" s="165"/>
      <c r="C91" s="165"/>
      <c r="D91" s="165"/>
      <c r="E91" s="165"/>
      <c r="F91" s="196"/>
      <c r="G91" s="196"/>
      <c r="H91" s="165"/>
      <c r="I91" s="170"/>
      <c r="J91" s="170"/>
      <c r="K91" s="165"/>
      <c r="L91" s="165"/>
      <c r="M91" s="165"/>
    </row>
    <row r="92" spans="1:13" ht="13.8">
      <c r="A92" s="165"/>
      <c r="B92" s="165"/>
      <c r="C92" s="165"/>
      <c r="D92" s="165"/>
      <c r="E92" s="165"/>
      <c r="F92" s="196"/>
      <c r="G92" s="196"/>
      <c r="H92" s="165"/>
      <c r="I92" s="170"/>
      <c r="J92" s="170"/>
      <c r="K92" s="165"/>
      <c r="L92" s="165"/>
      <c r="M92" s="165"/>
    </row>
    <row r="93" spans="1:13" ht="13.8">
      <c r="A93" s="165"/>
      <c r="B93" s="165"/>
      <c r="C93" s="165"/>
      <c r="D93" s="165"/>
      <c r="E93" s="165"/>
      <c r="F93" s="196"/>
      <c r="G93" s="196"/>
      <c r="H93" s="165"/>
      <c r="I93" s="170"/>
      <c r="J93" s="170"/>
      <c r="K93" s="165"/>
      <c r="L93" s="165"/>
      <c r="M93" s="165"/>
    </row>
    <row r="94" spans="1:13" ht="13.8">
      <c r="A94" s="165"/>
      <c r="B94" s="165"/>
      <c r="C94" s="165"/>
      <c r="D94" s="165"/>
      <c r="E94" s="165"/>
      <c r="F94" s="196"/>
      <c r="G94" s="196"/>
      <c r="H94" s="165"/>
      <c r="I94" s="170"/>
      <c r="J94" s="170"/>
      <c r="K94" s="165"/>
      <c r="L94" s="165"/>
      <c r="M94" s="165"/>
    </row>
    <row r="95" spans="1:13" ht="13.8">
      <c r="A95" s="165"/>
      <c r="B95" s="165"/>
      <c r="C95" s="165"/>
      <c r="D95" s="165"/>
      <c r="E95" s="165"/>
      <c r="F95" s="196"/>
      <c r="G95" s="196"/>
      <c r="H95" s="165"/>
      <c r="I95" s="170"/>
      <c r="J95" s="170"/>
      <c r="K95" s="165"/>
      <c r="L95" s="165"/>
      <c r="M95" s="165"/>
    </row>
    <row r="96" spans="1:13" ht="13.8">
      <c r="A96" s="165"/>
      <c r="B96" s="165"/>
      <c r="C96" s="165"/>
      <c r="D96" s="165"/>
      <c r="E96" s="165"/>
      <c r="F96" s="196"/>
      <c r="G96" s="196"/>
      <c r="H96" s="165"/>
      <c r="I96" s="170"/>
      <c r="J96" s="170"/>
      <c r="K96" s="165"/>
      <c r="L96" s="165"/>
      <c r="M96" s="165"/>
    </row>
    <row r="97" spans="1:13" ht="13.8">
      <c r="A97" s="165"/>
      <c r="B97" s="165"/>
      <c r="C97" s="165"/>
      <c r="D97" s="165"/>
      <c r="E97" s="165"/>
      <c r="F97" s="196"/>
      <c r="G97" s="196"/>
      <c r="H97" s="165"/>
      <c r="I97" s="170"/>
      <c r="J97" s="170"/>
      <c r="K97" s="165"/>
      <c r="L97" s="165"/>
      <c r="M97" s="165"/>
    </row>
    <row r="98" spans="1:13" ht="13.8">
      <c r="A98" s="165"/>
      <c r="B98" s="165"/>
      <c r="C98" s="165"/>
      <c r="D98" s="165"/>
      <c r="E98" s="165"/>
      <c r="F98" s="196"/>
      <c r="G98" s="196"/>
      <c r="H98" s="165"/>
      <c r="I98" s="170"/>
      <c r="J98" s="170"/>
      <c r="K98" s="165"/>
      <c r="L98" s="165"/>
      <c r="M98" s="165"/>
    </row>
    <row r="99" spans="1:13" ht="13.8">
      <c r="A99" s="165"/>
      <c r="B99" s="165"/>
      <c r="C99" s="165"/>
      <c r="D99" s="165"/>
      <c r="E99" s="165"/>
      <c r="F99" s="196"/>
      <c r="G99" s="196"/>
      <c r="H99" s="165"/>
      <c r="I99" s="170"/>
      <c r="J99" s="170"/>
      <c r="K99" s="165"/>
      <c r="L99" s="165"/>
      <c r="M99" s="165"/>
    </row>
    <row r="100" spans="1:13" ht="13.8">
      <c r="A100" s="165"/>
      <c r="B100" s="165"/>
      <c r="C100" s="165"/>
      <c r="D100" s="165"/>
      <c r="E100" s="165"/>
      <c r="F100" s="196"/>
      <c r="G100" s="196"/>
      <c r="H100" s="165"/>
      <c r="I100" s="170"/>
      <c r="J100" s="170"/>
      <c r="K100" s="165"/>
      <c r="L100" s="165"/>
      <c r="M100" s="165"/>
    </row>
    <row r="101" spans="1:13" ht="13.8">
      <c r="A101" s="165"/>
      <c r="B101" s="165"/>
      <c r="C101" s="165"/>
      <c r="D101" s="165"/>
      <c r="E101" s="165"/>
      <c r="F101" s="196"/>
      <c r="G101" s="196"/>
      <c r="H101" s="165"/>
      <c r="I101" s="170"/>
      <c r="J101" s="170"/>
      <c r="K101" s="165"/>
      <c r="L101" s="165"/>
      <c r="M101" s="165"/>
    </row>
    <row r="102" spans="1:13" ht="13.8">
      <c r="A102" s="165"/>
      <c r="B102" s="165"/>
      <c r="C102" s="165"/>
      <c r="D102" s="165"/>
      <c r="E102" s="165"/>
      <c r="F102" s="196"/>
      <c r="G102" s="196"/>
      <c r="H102" s="165"/>
      <c r="I102" s="170"/>
      <c r="J102" s="170"/>
      <c r="K102" s="165"/>
      <c r="L102" s="165"/>
      <c r="M102" s="165"/>
    </row>
    <row r="103" spans="1:13" ht="13.8">
      <c r="A103" s="165"/>
      <c r="B103" s="165"/>
      <c r="C103" s="165"/>
      <c r="D103" s="165"/>
      <c r="E103" s="165"/>
      <c r="F103" s="196"/>
      <c r="G103" s="196"/>
      <c r="H103" s="165"/>
      <c r="I103" s="170"/>
      <c r="J103" s="170"/>
      <c r="K103" s="165"/>
      <c r="L103" s="165"/>
      <c r="M103" s="165"/>
    </row>
    <row r="104" spans="1:13" ht="13.8">
      <c r="A104" s="165"/>
      <c r="B104" s="165"/>
      <c r="C104" s="165"/>
      <c r="D104" s="165"/>
      <c r="E104" s="165"/>
      <c r="F104" s="196"/>
      <c r="G104" s="196"/>
      <c r="H104" s="165"/>
      <c r="I104" s="170"/>
      <c r="J104" s="170"/>
      <c r="K104" s="165"/>
      <c r="L104" s="165"/>
      <c r="M104" s="165"/>
    </row>
    <row r="105" spans="1:13" ht="13.8">
      <c r="A105" s="165"/>
      <c r="B105" s="165"/>
      <c r="C105" s="165"/>
      <c r="D105" s="165"/>
      <c r="E105" s="165"/>
      <c r="F105" s="196"/>
      <c r="G105" s="196"/>
      <c r="H105" s="165"/>
      <c r="I105" s="170"/>
      <c r="J105" s="170"/>
      <c r="K105" s="165"/>
      <c r="L105" s="165"/>
      <c r="M105" s="165"/>
    </row>
    <row r="106" spans="1:13" ht="13.8">
      <c r="A106" s="165"/>
      <c r="B106" s="165"/>
      <c r="C106" s="165"/>
      <c r="D106" s="165"/>
      <c r="E106" s="165"/>
      <c r="F106" s="196"/>
      <c r="G106" s="196"/>
      <c r="H106" s="165"/>
      <c r="I106" s="170"/>
      <c r="J106" s="170"/>
      <c r="K106" s="165"/>
      <c r="L106" s="165"/>
      <c r="M106" s="165"/>
    </row>
    <row r="107" spans="1:13" ht="13.8">
      <c r="A107" s="165"/>
      <c r="B107" s="165"/>
      <c r="C107" s="165"/>
      <c r="D107" s="165"/>
      <c r="E107" s="165"/>
      <c r="F107" s="196"/>
      <c r="G107" s="196"/>
      <c r="H107" s="165"/>
      <c r="I107" s="170"/>
      <c r="J107" s="170"/>
      <c r="K107" s="165"/>
      <c r="L107" s="165"/>
      <c r="M107" s="165"/>
    </row>
    <row r="108" spans="1:13" ht="13.8">
      <c r="A108" s="165"/>
      <c r="B108" s="165"/>
      <c r="C108" s="165"/>
      <c r="D108" s="165"/>
      <c r="E108" s="165"/>
      <c r="F108" s="196"/>
      <c r="G108" s="196"/>
      <c r="H108" s="165"/>
      <c r="I108" s="170"/>
      <c r="J108" s="170"/>
      <c r="K108" s="165"/>
      <c r="L108" s="165"/>
      <c r="M108" s="165"/>
    </row>
    <row r="109" spans="1:13" ht="13.8">
      <c r="A109" s="165"/>
      <c r="B109" s="165"/>
      <c r="C109" s="165"/>
      <c r="D109" s="165"/>
      <c r="E109" s="165"/>
      <c r="F109" s="196"/>
      <c r="G109" s="196"/>
      <c r="H109" s="165"/>
      <c r="I109" s="170"/>
      <c r="J109" s="170"/>
      <c r="K109" s="165"/>
      <c r="L109" s="165"/>
      <c r="M109" s="165"/>
    </row>
    <row r="110" spans="1:13" ht="13.8">
      <c r="A110" s="165"/>
      <c r="B110" s="165"/>
      <c r="C110" s="165"/>
      <c r="D110" s="165"/>
      <c r="E110" s="165"/>
      <c r="F110" s="196"/>
      <c r="G110" s="196"/>
      <c r="H110" s="165"/>
      <c r="I110" s="170"/>
      <c r="J110" s="170"/>
      <c r="K110" s="165"/>
      <c r="L110" s="165"/>
      <c r="M110" s="165"/>
    </row>
    <row r="111" spans="1:13" ht="13.8">
      <c r="A111" s="165"/>
      <c r="B111" s="165"/>
      <c r="C111" s="165"/>
      <c r="D111" s="165"/>
      <c r="E111" s="165"/>
      <c r="F111" s="196"/>
      <c r="G111" s="196"/>
      <c r="H111" s="165"/>
      <c r="I111" s="170"/>
      <c r="J111" s="170"/>
      <c r="K111" s="165"/>
      <c r="L111" s="165"/>
      <c r="M111" s="165"/>
    </row>
    <row r="112" spans="1:13" ht="13.8">
      <c r="A112" s="165"/>
      <c r="B112" s="165"/>
      <c r="C112" s="165"/>
      <c r="D112" s="165"/>
      <c r="E112" s="165"/>
      <c r="F112" s="196"/>
      <c r="G112" s="196"/>
      <c r="H112" s="165"/>
      <c r="I112" s="170"/>
      <c r="J112" s="170"/>
      <c r="K112" s="165"/>
      <c r="L112" s="165"/>
      <c r="M112" s="165"/>
    </row>
    <row r="113" spans="1:13" ht="13.8">
      <c r="A113" s="165"/>
      <c r="B113" s="165"/>
      <c r="C113" s="165"/>
      <c r="D113" s="165"/>
      <c r="E113" s="165"/>
      <c r="F113" s="196"/>
      <c r="G113" s="196"/>
      <c r="H113" s="165"/>
      <c r="I113" s="170"/>
      <c r="J113" s="170"/>
      <c r="K113" s="165"/>
      <c r="L113" s="165"/>
      <c r="M113" s="165"/>
    </row>
    <row r="114" spans="1:13" ht="13.8">
      <c r="A114" s="165"/>
      <c r="B114" s="165"/>
      <c r="C114" s="165"/>
      <c r="D114" s="165"/>
      <c r="E114" s="165"/>
      <c r="F114" s="196"/>
      <c r="G114" s="196"/>
      <c r="H114" s="165"/>
      <c r="I114" s="170"/>
      <c r="J114" s="170"/>
      <c r="K114" s="165"/>
      <c r="L114" s="165"/>
      <c r="M114" s="165"/>
    </row>
  </sheetData>
  <phoneticPr fontId="104" type="noConversion"/>
  <dataValidations count="2">
    <dataValidation type="list" allowBlank="1" showInputMessage="1" showErrorMessage="1" sqref="F7:F114">
      <formula1>issuecat</formula1>
    </dataValidation>
    <dataValidation type="list" allowBlank="1" showInputMessage="1" showErrorMessage="1" sqref="G7:G114">
      <formula1>issstatus</formula1>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05"/>
  <sheetViews>
    <sheetView topLeftCell="A44" workbookViewId="0">
      <selection activeCell="A30" sqref="A30:A67"/>
    </sheetView>
  </sheetViews>
  <sheetFormatPr defaultColWidth="9.109375" defaultRowHeight="13.8"/>
  <cols>
    <col min="1" max="1" width="11.109375" style="5" customWidth="1"/>
    <col min="2" max="2" width="97.44140625" style="5" customWidth="1"/>
    <col min="3" max="3" width="10.6640625" style="5" customWidth="1"/>
    <col min="4" max="4" width="9.109375" style="5" customWidth="1"/>
    <col min="5" max="5" width="9.5546875" style="5" customWidth="1"/>
    <col min="6" max="6" width="10.88671875" style="5" customWidth="1"/>
    <col min="7" max="16384" width="9.109375" style="5"/>
  </cols>
  <sheetData>
    <row r="1" spans="1:24" ht="17.399999999999999">
      <c r="A1" s="110" t="s">
        <v>6</v>
      </c>
      <c r="B1" s="147"/>
      <c r="C1" s="146"/>
      <c r="D1" s="146"/>
      <c r="E1" s="146"/>
      <c r="F1" s="146"/>
      <c r="G1" s="145"/>
      <c r="H1" s="171"/>
      <c r="I1" s="171"/>
      <c r="J1" s="172"/>
      <c r="K1" s="172"/>
      <c r="L1" s="172"/>
      <c r="M1" s="172"/>
      <c r="N1" s="172"/>
      <c r="O1" s="172"/>
      <c r="P1" s="172"/>
      <c r="Q1" s="172"/>
      <c r="R1" s="172"/>
      <c r="S1" s="162"/>
      <c r="T1" s="162"/>
      <c r="U1" s="162"/>
      <c r="V1" s="162"/>
      <c r="W1" s="162"/>
      <c r="X1" s="162"/>
    </row>
    <row r="2" spans="1:24">
      <c r="A2" s="148"/>
      <c r="B2" s="147"/>
      <c r="C2" s="146"/>
      <c r="D2" s="146"/>
      <c r="E2" s="146"/>
      <c r="F2" s="146"/>
      <c r="G2" s="145"/>
      <c r="H2" s="171"/>
      <c r="I2" s="171"/>
      <c r="J2" s="172"/>
      <c r="K2" s="172"/>
      <c r="L2" s="172"/>
      <c r="M2" s="172"/>
      <c r="N2" s="172"/>
      <c r="O2" s="172"/>
      <c r="P2" s="172"/>
      <c r="Q2" s="172"/>
      <c r="R2" s="172"/>
      <c r="S2" s="162"/>
      <c r="T2" s="162"/>
      <c r="U2" s="162"/>
      <c r="V2" s="162"/>
      <c r="W2" s="162"/>
      <c r="X2" s="162"/>
    </row>
    <row r="3" spans="1:24" ht="30">
      <c r="A3" s="112" t="s">
        <v>200</v>
      </c>
      <c r="B3" s="147"/>
      <c r="C3" s="146"/>
      <c r="D3" s="146"/>
      <c r="E3" s="146"/>
      <c r="F3" s="146"/>
      <c r="G3" s="145"/>
      <c r="H3" s="171"/>
      <c r="I3" s="171"/>
      <c r="J3" s="172"/>
      <c r="K3" s="172"/>
      <c r="L3" s="172"/>
      <c r="M3" s="172"/>
      <c r="N3" s="172"/>
      <c r="O3" s="172"/>
      <c r="P3" s="172"/>
      <c r="Q3" s="172"/>
      <c r="R3" s="172"/>
      <c r="S3" s="162"/>
      <c r="T3" s="162"/>
      <c r="U3" s="162"/>
      <c r="V3" s="162"/>
      <c r="W3" s="162"/>
      <c r="X3" s="162"/>
    </row>
    <row r="4" spans="1:24">
      <c r="A4" s="161"/>
      <c r="B4" s="147"/>
      <c r="C4" s="146"/>
      <c r="D4" s="146"/>
      <c r="E4" s="146"/>
      <c r="F4" s="153"/>
      <c r="G4" s="145"/>
      <c r="H4" s="171"/>
      <c r="I4" s="171"/>
      <c r="J4" s="172"/>
      <c r="K4" s="172"/>
      <c r="L4" s="172"/>
      <c r="M4" s="172"/>
      <c r="N4" s="172"/>
      <c r="O4" s="172"/>
      <c r="P4" s="172"/>
      <c r="Q4" s="172"/>
      <c r="R4" s="172"/>
      <c r="S4" s="162"/>
      <c r="T4" s="162"/>
      <c r="U4" s="162"/>
      <c r="V4" s="162"/>
      <c r="W4" s="162"/>
      <c r="X4" s="162"/>
    </row>
    <row r="5" spans="1:24">
      <c r="A5" s="161"/>
      <c r="B5" s="147"/>
      <c r="C5" s="146"/>
      <c r="D5" s="146"/>
      <c r="E5" s="173"/>
      <c r="F5" s="173"/>
      <c r="G5" s="173"/>
      <c r="H5" s="173"/>
      <c r="I5" s="173"/>
      <c r="J5" s="173"/>
      <c r="K5" s="173"/>
      <c r="L5" s="174"/>
      <c r="M5" s="173"/>
      <c r="N5" s="173"/>
      <c r="O5" s="173"/>
      <c r="P5" s="173"/>
      <c r="Q5" s="173"/>
      <c r="R5" s="173"/>
      <c r="S5" s="162"/>
      <c r="T5" s="162"/>
      <c r="U5" s="162"/>
      <c r="V5" s="162"/>
      <c r="W5" s="162"/>
    </row>
    <row r="6" spans="1:24">
      <c r="A6" s="176" t="s">
        <v>202</v>
      </c>
      <c r="B6" s="222" t="s">
        <v>105</v>
      </c>
      <c r="C6" s="176" t="s">
        <v>133</v>
      </c>
      <c r="D6" s="176" t="s">
        <v>189</v>
      </c>
      <c r="E6" s="176">
        <v>91999901</v>
      </c>
      <c r="F6" s="176">
        <v>91999902</v>
      </c>
      <c r="G6" s="176">
        <v>91999903</v>
      </c>
      <c r="H6" s="176">
        <v>91999904</v>
      </c>
      <c r="I6" s="176">
        <v>91999905</v>
      </c>
      <c r="J6" s="176">
        <v>91999906</v>
      </c>
      <c r="K6" s="176">
        <v>91999907</v>
      </c>
      <c r="L6" s="176">
        <v>91999908</v>
      </c>
      <c r="M6" s="176">
        <v>91999909</v>
      </c>
      <c r="N6" s="176">
        <v>91999910</v>
      </c>
      <c r="O6" s="176">
        <v>91999911</v>
      </c>
      <c r="P6" s="176">
        <v>91999912</v>
      </c>
      <c r="Q6" s="176">
        <v>91999913</v>
      </c>
      <c r="R6" s="176">
        <v>91999914</v>
      </c>
      <c r="S6" s="162"/>
      <c r="T6" s="162"/>
      <c r="U6" s="162"/>
      <c r="V6" s="162"/>
      <c r="W6" s="162"/>
    </row>
    <row r="7" spans="1:24">
      <c r="A7" s="175"/>
      <c r="B7" s="222"/>
      <c r="C7" s="176"/>
      <c r="D7" s="176"/>
      <c r="E7" s="176" t="s">
        <v>266</v>
      </c>
      <c r="F7" s="176" t="s">
        <v>265</v>
      </c>
      <c r="G7" s="176" t="s">
        <v>264</v>
      </c>
      <c r="H7" s="176" t="s">
        <v>263</v>
      </c>
      <c r="I7" s="176" t="s">
        <v>262</v>
      </c>
      <c r="J7" s="176" t="s">
        <v>261</v>
      </c>
      <c r="K7" s="176" t="s">
        <v>260</v>
      </c>
      <c r="L7" s="176" t="s">
        <v>259</v>
      </c>
      <c r="M7" s="176" t="s">
        <v>258</v>
      </c>
      <c r="N7" s="176" t="s">
        <v>257</v>
      </c>
      <c r="O7" s="176" t="s">
        <v>256</v>
      </c>
      <c r="P7" s="176" t="s">
        <v>255</v>
      </c>
      <c r="Q7" s="176" t="s">
        <v>254</v>
      </c>
      <c r="R7" s="176" t="s">
        <v>253</v>
      </c>
      <c r="S7" s="162"/>
      <c r="T7" s="162"/>
      <c r="U7" s="162"/>
      <c r="V7" s="162"/>
      <c r="W7" s="162"/>
    </row>
    <row r="8" spans="1:24">
      <c r="A8" s="177">
        <v>1</v>
      </c>
      <c r="B8" s="228" t="s">
        <v>205</v>
      </c>
      <c r="C8" s="612">
        <v>1</v>
      </c>
      <c r="D8" s="178" t="s">
        <v>203</v>
      </c>
      <c r="E8" s="179" t="s">
        <v>206</v>
      </c>
      <c r="F8" s="179" t="s">
        <v>206</v>
      </c>
      <c r="G8" s="179" t="s">
        <v>206</v>
      </c>
      <c r="H8" s="179" t="s">
        <v>206</v>
      </c>
      <c r="I8" s="179" t="s">
        <v>206</v>
      </c>
      <c r="J8" s="179" t="s">
        <v>206</v>
      </c>
      <c r="K8" s="179" t="s">
        <v>206</v>
      </c>
      <c r="L8" s="179" t="s">
        <v>206</v>
      </c>
      <c r="M8" s="179" t="s">
        <v>206</v>
      </c>
      <c r="N8" s="179" t="s">
        <v>206</v>
      </c>
      <c r="O8" s="179" t="s">
        <v>206</v>
      </c>
      <c r="P8" s="179" t="s">
        <v>206</v>
      </c>
      <c r="Q8" s="179" t="s">
        <v>206</v>
      </c>
      <c r="R8" s="179" t="s">
        <v>206</v>
      </c>
      <c r="S8" s="162"/>
      <c r="T8" s="162"/>
      <c r="U8" s="162"/>
      <c r="V8" s="162"/>
      <c r="W8" s="162"/>
    </row>
    <row r="9" spans="1:24">
      <c r="A9" s="177">
        <f>A8+1</f>
        <v>2</v>
      </c>
      <c r="B9" s="228" t="s">
        <v>208</v>
      </c>
      <c r="C9" s="612">
        <v>1</v>
      </c>
      <c r="D9" s="224" t="s">
        <v>203</v>
      </c>
      <c r="E9" s="179"/>
      <c r="F9" s="179"/>
      <c r="G9" s="179" t="s">
        <v>206</v>
      </c>
      <c r="H9" s="179"/>
      <c r="I9" s="179"/>
      <c r="J9" s="180"/>
      <c r="K9" s="180"/>
      <c r="L9" s="180"/>
      <c r="M9" s="180"/>
      <c r="N9" s="180"/>
      <c r="O9" s="180"/>
      <c r="P9" s="180"/>
      <c r="Q9" s="180"/>
      <c r="R9" s="180"/>
      <c r="S9" s="162"/>
      <c r="T9" s="162"/>
      <c r="U9" s="162"/>
      <c r="V9" s="162"/>
      <c r="W9" s="162"/>
    </row>
    <row r="10" spans="1:24">
      <c r="A10" s="177">
        <f t="shared" ref="A10:A71" si="0">A9+1</f>
        <v>3</v>
      </c>
      <c r="B10" s="225" t="s">
        <v>210</v>
      </c>
      <c r="C10" s="612">
        <v>1</v>
      </c>
      <c r="D10" s="224" t="s">
        <v>203</v>
      </c>
      <c r="E10" s="179"/>
      <c r="F10" s="180"/>
      <c r="G10" s="180"/>
      <c r="H10" s="180"/>
      <c r="I10" s="180"/>
      <c r="J10" s="180"/>
      <c r="K10" s="180"/>
      <c r="L10" s="179" t="s">
        <v>206</v>
      </c>
      <c r="M10" s="180"/>
      <c r="N10" s="180"/>
      <c r="O10" s="180"/>
      <c r="P10" s="180"/>
      <c r="Q10" s="180"/>
      <c r="R10" s="180"/>
      <c r="S10" s="162"/>
      <c r="T10" s="162"/>
      <c r="U10" s="162"/>
      <c r="V10" s="162"/>
      <c r="W10" s="162"/>
      <c r="X10" s="162"/>
    </row>
    <row r="11" spans="1:24">
      <c r="A11" s="177">
        <f t="shared" si="0"/>
        <v>4</v>
      </c>
      <c r="B11" s="225" t="s">
        <v>211</v>
      </c>
      <c r="C11" s="612">
        <v>2</v>
      </c>
      <c r="D11" s="224" t="s">
        <v>203</v>
      </c>
      <c r="E11" s="611"/>
      <c r="F11" s="611"/>
      <c r="G11" s="611"/>
      <c r="H11" s="611"/>
      <c r="I11" s="611"/>
      <c r="J11" s="611"/>
      <c r="K11" s="611"/>
      <c r="L11" s="611"/>
      <c r="M11" s="179" t="s">
        <v>206</v>
      </c>
      <c r="N11" s="611"/>
      <c r="O11" s="611"/>
      <c r="P11" s="611"/>
      <c r="Q11" s="611"/>
      <c r="R11" s="611"/>
      <c r="S11" s="162"/>
      <c r="T11" s="162"/>
      <c r="U11" s="162"/>
      <c r="V11" s="162"/>
      <c r="W11" s="162"/>
      <c r="X11" s="162"/>
    </row>
    <row r="12" spans="1:24">
      <c r="A12" s="177">
        <f t="shared" si="0"/>
        <v>5</v>
      </c>
      <c r="B12" s="226" t="s">
        <v>212</v>
      </c>
      <c r="C12" s="612">
        <v>1</v>
      </c>
      <c r="D12" s="224" t="s">
        <v>203</v>
      </c>
      <c r="E12" s="179" t="s">
        <v>206</v>
      </c>
      <c r="F12" s="179" t="s">
        <v>206</v>
      </c>
      <c r="G12" s="179" t="s">
        <v>206</v>
      </c>
      <c r="H12" s="179" t="s">
        <v>206</v>
      </c>
      <c r="I12" s="179" t="s">
        <v>206</v>
      </c>
      <c r="J12" s="179" t="s">
        <v>206</v>
      </c>
      <c r="K12" s="179" t="s">
        <v>206</v>
      </c>
      <c r="L12" s="179" t="s">
        <v>206</v>
      </c>
      <c r="M12" s="179" t="s">
        <v>206</v>
      </c>
      <c r="N12" s="179" t="s">
        <v>206</v>
      </c>
      <c r="O12" s="179" t="s">
        <v>206</v>
      </c>
      <c r="P12" s="179" t="s">
        <v>206</v>
      </c>
      <c r="Q12" s="179" t="s">
        <v>206</v>
      </c>
      <c r="R12" s="179" t="s">
        <v>206</v>
      </c>
      <c r="S12" s="162"/>
      <c r="T12" s="162"/>
      <c r="U12" s="162"/>
      <c r="V12" s="162"/>
      <c r="W12" s="162"/>
      <c r="X12" s="162"/>
    </row>
    <row r="13" spans="1:24">
      <c r="A13" s="177">
        <f>A12+1</f>
        <v>6</v>
      </c>
      <c r="B13" s="226" t="s">
        <v>950</v>
      </c>
      <c r="C13" s="612">
        <v>1</v>
      </c>
      <c r="D13" s="224" t="s">
        <v>203</v>
      </c>
      <c r="E13" s="179"/>
      <c r="F13" s="180"/>
      <c r="G13" s="180"/>
      <c r="H13" s="180"/>
      <c r="I13" s="180"/>
      <c r="J13" s="180"/>
      <c r="K13" s="180"/>
      <c r="L13" s="180"/>
      <c r="M13" s="180"/>
      <c r="N13" s="180"/>
      <c r="O13" s="179" t="s">
        <v>206</v>
      </c>
      <c r="P13" s="180"/>
      <c r="Q13" s="180"/>
      <c r="R13" s="180"/>
      <c r="S13" s="162"/>
      <c r="T13" s="162"/>
      <c r="U13" s="162"/>
      <c r="V13" s="162"/>
      <c r="W13" s="162"/>
      <c r="X13" s="162"/>
    </row>
    <row r="14" spans="1:24">
      <c r="A14" s="177">
        <f t="shared" si="0"/>
        <v>7</v>
      </c>
      <c r="B14" s="226" t="s">
        <v>213</v>
      </c>
      <c r="C14" s="612">
        <v>1</v>
      </c>
      <c r="D14" s="224" t="s">
        <v>203</v>
      </c>
      <c r="E14" s="179" t="s">
        <v>206</v>
      </c>
      <c r="F14" s="179" t="s">
        <v>206</v>
      </c>
      <c r="G14" s="179" t="s">
        <v>206</v>
      </c>
      <c r="H14" s="179" t="s">
        <v>206</v>
      </c>
      <c r="I14" s="179" t="s">
        <v>206</v>
      </c>
      <c r="J14" s="179" t="s">
        <v>206</v>
      </c>
      <c r="K14" s="179" t="s">
        <v>206</v>
      </c>
      <c r="L14" s="179" t="s">
        <v>206</v>
      </c>
      <c r="M14" s="179" t="s">
        <v>206</v>
      </c>
      <c r="N14" s="179" t="s">
        <v>206</v>
      </c>
      <c r="O14" s="179" t="s">
        <v>206</v>
      </c>
      <c r="P14" s="179" t="s">
        <v>206</v>
      </c>
      <c r="Q14" s="179" t="s">
        <v>206</v>
      </c>
      <c r="R14" s="179" t="s">
        <v>206</v>
      </c>
      <c r="S14" s="156"/>
      <c r="T14" s="156"/>
      <c r="U14" s="156"/>
      <c r="V14" s="162"/>
      <c r="W14" s="162"/>
      <c r="X14" s="162"/>
    </row>
    <row r="15" spans="1:24">
      <c r="A15" s="177">
        <f t="shared" si="0"/>
        <v>8</v>
      </c>
      <c r="B15" s="226" t="s">
        <v>214</v>
      </c>
      <c r="C15" s="612">
        <v>1</v>
      </c>
      <c r="D15" s="224" t="s">
        <v>203</v>
      </c>
      <c r="E15" s="179" t="s">
        <v>206</v>
      </c>
      <c r="F15" s="179" t="s">
        <v>206</v>
      </c>
      <c r="G15" s="179" t="s">
        <v>206</v>
      </c>
      <c r="H15" s="179" t="s">
        <v>206</v>
      </c>
      <c r="I15" s="179" t="s">
        <v>206</v>
      </c>
      <c r="J15" s="179" t="s">
        <v>206</v>
      </c>
      <c r="K15" s="179" t="s">
        <v>206</v>
      </c>
      <c r="L15" s="179" t="s">
        <v>206</v>
      </c>
      <c r="M15" s="179" t="s">
        <v>206</v>
      </c>
      <c r="N15" s="179" t="s">
        <v>206</v>
      </c>
      <c r="O15" s="179" t="s">
        <v>206</v>
      </c>
      <c r="P15" s="179" t="s">
        <v>206</v>
      </c>
      <c r="Q15" s="179" t="s">
        <v>206</v>
      </c>
      <c r="R15" s="179" t="s">
        <v>206</v>
      </c>
      <c r="S15" s="156"/>
      <c r="T15" s="156"/>
      <c r="U15" s="156"/>
      <c r="V15" s="162"/>
      <c r="W15" s="162"/>
      <c r="X15" s="162"/>
    </row>
    <row r="16" spans="1:24">
      <c r="A16" s="177">
        <f t="shared" si="0"/>
        <v>9</v>
      </c>
      <c r="B16" s="226" t="s">
        <v>215</v>
      </c>
      <c r="C16" s="612">
        <v>1</v>
      </c>
      <c r="D16" s="224" t="s">
        <v>203</v>
      </c>
      <c r="E16" s="179" t="s">
        <v>206</v>
      </c>
      <c r="F16" s="179" t="s">
        <v>206</v>
      </c>
      <c r="G16" s="179" t="s">
        <v>206</v>
      </c>
      <c r="H16" s="179" t="s">
        <v>206</v>
      </c>
      <c r="I16" s="179" t="s">
        <v>206</v>
      </c>
      <c r="J16" s="179" t="s">
        <v>206</v>
      </c>
      <c r="K16" s="179" t="s">
        <v>206</v>
      </c>
      <c r="L16" s="179" t="s">
        <v>206</v>
      </c>
      <c r="M16" s="179" t="s">
        <v>206</v>
      </c>
      <c r="N16" s="179" t="s">
        <v>206</v>
      </c>
      <c r="O16" s="179" t="s">
        <v>206</v>
      </c>
      <c r="P16" s="179" t="s">
        <v>206</v>
      </c>
      <c r="Q16" s="179" t="s">
        <v>206</v>
      </c>
      <c r="R16" s="179" t="s">
        <v>206</v>
      </c>
      <c r="S16" s="156"/>
      <c r="T16" s="156"/>
      <c r="U16" s="156"/>
      <c r="V16" s="162"/>
      <c r="W16" s="162"/>
      <c r="X16" s="162"/>
    </row>
    <row r="17" spans="1:24">
      <c r="A17" s="223">
        <f t="shared" si="0"/>
        <v>10</v>
      </c>
      <c r="B17" s="226" t="s">
        <v>216</v>
      </c>
      <c r="C17" s="612">
        <v>1</v>
      </c>
      <c r="D17" s="224" t="s">
        <v>203</v>
      </c>
      <c r="E17" s="179" t="s">
        <v>206</v>
      </c>
      <c r="F17" s="179" t="s">
        <v>206</v>
      </c>
      <c r="G17" s="179" t="s">
        <v>206</v>
      </c>
      <c r="H17" s="179" t="s">
        <v>206</v>
      </c>
      <c r="I17" s="179" t="s">
        <v>206</v>
      </c>
      <c r="J17" s="179" t="s">
        <v>206</v>
      </c>
      <c r="K17" s="179" t="s">
        <v>206</v>
      </c>
      <c r="L17" s="179" t="s">
        <v>206</v>
      </c>
      <c r="M17" s="179" t="s">
        <v>206</v>
      </c>
      <c r="N17" s="179" t="s">
        <v>206</v>
      </c>
      <c r="O17" s="179" t="s">
        <v>206</v>
      </c>
      <c r="P17" s="179" t="s">
        <v>206</v>
      </c>
      <c r="Q17" s="179" t="s">
        <v>206</v>
      </c>
      <c r="R17" s="179" t="s">
        <v>206</v>
      </c>
      <c r="S17" s="156"/>
      <c r="T17" s="156"/>
      <c r="U17" s="156"/>
      <c r="V17" s="162"/>
      <c r="W17" s="162"/>
      <c r="X17" s="162"/>
    </row>
    <row r="18" spans="1:24">
      <c r="A18" s="223">
        <f t="shared" si="0"/>
        <v>11</v>
      </c>
      <c r="B18" s="226" t="s">
        <v>217</v>
      </c>
      <c r="C18" s="612">
        <v>1</v>
      </c>
      <c r="D18" s="224" t="s">
        <v>203</v>
      </c>
      <c r="E18" s="179" t="s">
        <v>206</v>
      </c>
      <c r="F18" s="179" t="s">
        <v>206</v>
      </c>
      <c r="G18" s="179" t="s">
        <v>206</v>
      </c>
      <c r="H18" s="179" t="s">
        <v>206</v>
      </c>
      <c r="I18" s="179" t="s">
        <v>206</v>
      </c>
      <c r="J18" s="179" t="s">
        <v>206</v>
      </c>
      <c r="K18" s="179" t="s">
        <v>206</v>
      </c>
      <c r="L18" s="179" t="s">
        <v>206</v>
      </c>
      <c r="M18" s="179" t="s">
        <v>206</v>
      </c>
      <c r="N18" s="179" t="s">
        <v>206</v>
      </c>
      <c r="O18" s="179" t="s">
        <v>206</v>
      </c>
      <c r="P18" s="179" t="s">
        <v>206</v>
      </c>
      <c r="Q18" s="179" t="s">
        <v>206</v>
      </c>
      <c r="R18" s="179" t="s">
        <v>206</v>
      </c>
      <c r="S18" s="156"/>
      <c r="T18" s="156"/>
      <c r="U18" s="156"/>
      <c r="V18" s="162"/>
      <c r="W18" s="162"/>
      <c r="X18" s="162"/>
    </row>
    <row r="19" spans="1:24">
      <c r="A19" s="223">
        <f t="shared" si="0"/>
        <v>12</v>
      </c>
      <c r="B19" s="226" t="s">
        <v>218</v>
      </c>
      <c r="C19" s="612">
        <v>1</v>
      </c>
      <c r="D19" s="224" t="s">
        <v>203</v>
      </c>
      <c r="E19" s="179" t="s">
        <v>206</v>
      </c>
      <c r="F19" s="179" t="s">
        <v>206</v>
      </c>
      <c r="G19" s="179" t="s">
        <v>206</v>
      </c>
      <c r="H19" s="179" t="s">
        <v>206</v>
      </c>
      <c r="I19" s="179" t="s">
        <v>206</v>
      </c>
      <c r="J19" s="179" t="s">
        <v>206</v>
      </c>
      <c r="K19" s="179" t="s">
        <v>206</v>
      </c>
      <c r="L19" s="179" t="s">
        <v>206</v>
      </c>
      <c r="M19" s="179" t="s">
        <v>206</v>
      </c>
      <c r="N19" s="179" t="s">
        <v>206</v>
      </c>
      <c r="O19" s="179" t="s">
        <v>206</v>
      </c>
      <c r="P19" s="179" t="s">
        <v>206</v>
      </c>
      <c r="Q19" s="179" t="s">
        <v>206</v>
      </c>
      <c r="R19" s="179" t="s">
        <v>206</v>
      </c>
      <c r="S19" s="156"/>
      <c r="T19" s="156"/>
      <c r="U19" s="156"/>
      <c r="V19" s="162"/>
      <c r="W19" s="162"/>
      <c r="X19" s="162"/>
    </row>
    <row r="20" spans="1:24">
      <c r="A20" s="223">
        <f t="shared" si="0"/>
        <v>13</v>
      </c>
      <c r="B20" s="226" t="s">
        <v>267</v>
      </c>
      <c r="C20" s="612">
        <v>1</v>
      </c>
      <c r="D20" s="224" t="s">
        <v>203</v>
      </c>
      <c r="E20" s="179" t="s">
        <v>206</v>
      </c>
      <c r="F20" s="179" t="s">
        <v>206</v>
      </c>
      <c r="G20" s="179" t="s">
        <v>206</v>
      </c>
      <c r="H20" s="179" t="s">
        <v>206</v>
      </c>
      <c r="I20" s="179"/>
      <c r="J20" s="179"/>
      <c r="K20" s="179" t="s">
        <v>206</v>
      </c>
      <c r="L20" s="179"/>
      <c r="M20" s="179"/>
      <c r="N20" s="179"/>
      <c r="O20" s="179"/>
      <c r="P20" s="179"/>
      <c r="Q20" s="179"/>
      <c r="R20" s="179"/>
      <c r="S20" s="156"/>
      <c r="T20" s="156"/>
      <c r="U20" s="156"/>
      <c r="V20" s="162"/>
      <c r="W20" s="162"/>
      <c r="X20" s="162"/>
    </row>
    <row r="21" spans="1:24">
      <c r="A21" s="223">
        <f t="shared" si="0"/>
        <v>14</v>
      </c>
      <c r="B21" s="226" t="s">
        <v>268</v>
      </c>
      <c r="C21" s="612">
        <v>1</v>
      </c>
      <c r="D21" s="224" t="s">
        <v>203</v>
      </c>
      <c r="E21" s="179"/>
      <c r="F21" s="180"/>
      <c r="G21" s="180"/>
      <c r="H21" s="180"/>
      <c r="I21" s="180"/>
      <c r="J21" s="180"/>
      <c r="K21" s="180"/>
      <c r="L21" s="180"/>
      <c r="M21" s="180"/>
      <c r="N21" s="180"/>
      <c r="O21" s="180"/>
      <c r="P21" s="180"/>
      <c r="Q21" s="180"/>
      <c r="R21" s="180"/>
      <c r="S21" s="156"/>
      <c r="T21" s="156"/>
      <c r="U21" s="156"/>
      <c r="V21" s="162"/>
      <c r="W21" s="162"/>
      <c r="X21" s="162"/>
    </row>
    <row r="22" spans="1:24">
      <c r="A22" s="223">
        <f t="shared" si="0"/>
        <v>15</v>
      </c>
      <c r="B22" s="226" t="s">
        <v>269</v>
      </c>
      <c r="C22" s="612">
        <v>1</v>
      </c>
      <c r="D22" s="224" t="s">
        <v>203</v>
      </c>
      <c r="E22" s="179" t="s">
        <v>206</v>
      </c>
      <c r="F22" s="179" t="s">
        <v>206</v>
      </c>
      <c r="G22" s="179" t="s">
        <v>206</v>
      </c>
      <c r="H22" s="179" t="s">
        <v>206</v>
      </c>
      <c r="I22" s="179" t="s">
        <v>206</v>
      </c>
      <c r="J22" s="179" t="s">
        <v>206</v>
      </c>
      <c r="K22" s="179" t="s">
        <v>206</v>
      </c>
      <c r="L22" s="179" t="s">
        <v>206</v>
      </c>
      <c r="M22" s="179" t="s">
        <v>206</v>
      </c>
      <c r="N22" s="179" t="s">
        <v>206</v>
      </c>
      <c r="O22" s="179" t="s">
        <v>206</v>
      </c>
      <c r="P22" s="179" t="s">
        <v>206</v>
      </c>
      <c r="Q22" s="179" t="s">
        <v>206</v>
      </c>
      <c r="R22" s="179" t="s">
        <v>206</v>
      </c>
      <c r="S22" s="156"/>
      <c r="T22" s="156"/>
      <c r="U22" s="156"/>
      <c r="V22" s="162"/>
      <c r="W22" s="162"/>
      <c r="X22" s="162"/>
    </row>
    <row r="23" spans="1:24">
      <c r="A23" s="223">
        <f t="shared" si="0"/>
        <v>16</v>
      </c>
      <c r="B23" s="226" t="s">
        <v>271</v>
      </c>
      <c r="C23" s="612">
        <v>1</v>
      </c>
      <c r="D23" s="224" t="s">
        <v>203</v>
      </c>
      <c r="E23" s="179" t="s">
        <v>206</v>
      </c>
      <c r="F23" s="179" t="s">
        <v>206</v>
      </c>
      <c r="G23" s="179" t="s">
        <v>206</v>
      </c>
      <c r="H23" s="179" t="s">
        <v>206</v>
      </c>
      <c r="I23" s="180"/>
      <c r="J23" s="179" t="s">
        <v>206</v>
      </c>
      <c r="K23" s="179" t="s">
        <v>206</v>
      </c>
      <c r="L23" s="179" t="s">
        <v>206</v>
      </c>
      <c r="M23" s="179" t="s">
        <v>206</v>
      </c>
      <c r="N23" s="180"/>
      <c r="O23" s="179" t="s">
        <v>206</v>
      </c>
      <c r="P23" s="180"/>
      <c r="Q23" s="180"/>
      <c r="R23" s="180"/>
      <c r="S23" s="156"/>
      <c r="T23" s="156"/>
      <c r="U23" s="156"/>
      <c r="V23" s="162"/>
      <c r="W23" s="162"/>
      <c r="X23" s="162"/>
    </row>
    <row r="24" spans="1:24">
      <c r="A24" s="223">
        <f t="shared" si="0"/>
        <v>17</v>
      </c>
      <c r="B24" s="226" t="s">
        <v>270</v>
      </c>
      <c r="C24" s="612">
        <v>1</v>
      </c>
      <c r="D24" s="224" t="s">
        <v>203</v>
      </c>
      <c r="E24" s="179" t="s">
        <v>206</v>
      </c>
      <c r="F24" s="179" t="s">
        <v>206</v>
      </c>
      <c r="G24" s="179" t="s">
        <v>206</v>
      </c>
      <c r="H24" s="179" t="s">
        <v>206</v>
      </c>
      <c r="I24" s="179"/>
      <c r="J24" s="179"/>
      <c r="K24" s="179" t="s">
        <v>206</v>
      </c>
      <c r="L24" s="179"/>
      <c r="M24" s="179"/>
      <c r="N24" s="179"/>
      <c r="O24" s="179"/>
      <c r="P24" s="179"/>
      <c r="Q24" s="179"/>
      <c r="R24" s="179"/>
      <c r="S24" s="156"/>
      <c r="T24" s="156"/>
      <c r="U24" s="156"/>
      <c r="V24" s="162"/>
      <c r="W24" s="162"/>
      <c r="X24" s="162"/>
    </row>
    <row r="25" spans="1:24">
      <c r="A25" s="223">
        <f t="shared" si="0"/>
        <v>18</v>
      </c>
      <c r="B25" s="226" t="s">
        <v>272</v>
      </c>
      <c r="C25" s="612">
        <v>1</v>
      </c>
      <c r="D25" s="224" t="s">
        <v>203</v>
      </c>
      <c r="E25" s="180"/>
      <c r="F25" s="180"/>
      <c r="G25" s="180"/>
      <c r="H25" s="180"/>
      <c r="I25" s="180"/>
      <c r="J25" s="180"/>
      <c r="K25" s="180"/>
      <c r="L25" s="180"/>
      <c r="M25" s="180"/>
      <c r="N25" s="180"/>
      <c r="O25" s="180"/>
      <c r="P25" s="180"/>
      <c r="Q25" s="180"/>
      <c r="R25" s="180"/>
      <c r="S25" s="156"/>
      <c r="T25" s="156"/>
      <c r="U25" s="156"/>
      <c r="V25" s="162"/>
      <c r="W25" s="162"/>
      <c r="X25" s="162"/>
    </row>
    <row r="26" spans="1:24">
      <c r="A26" s="223">
        <f t="shared" si="0"/>
        <v>19</v>
      </c>
      <c r="B26" s="226" t="s">
        <v>219</v>
      </c>
      <c r="C26" s="612">
        <v>1</v>
      </c>
      <c r="D26" s="224" t="s">
        <v>203</v>
      </c>
      <c r="E26" s="179" t="s">
        <v>206</v>
      </c>
      <c r="F26" s="179" t="s">
        <v>206</v>
      </c>
      <c r="G26" s="179" t="s">
        <v>206</v>
      </c>
      <c r="H26" s="179" t="s">
        <v>206</v>
      </c>
      <c r="I26" s="179" t="s">
        <v>206</v>
      </c>
      <c r="J26" s="179" t="s">
        <v>206</v>
      </c>
      <c r="K26" s="179" t="s">
        <v>206</v>
      </c>
      <c r="L26" s="179" t="s">
        <v>206</v>
      </c>
      <c r="M26" s="179" t="s">
        <v>206</v>
      </c>
      <c r="N26" s="179" t="s">
        <v>206</v>
      </c>
      <c r="O26" s="179" t="s">
        <v>206</v>
      </c>
      <c r="P26" s="179" t="s">
        <v>206</v>
      </c>
      <c r="Q26" s="179" t="s">
        <v>206</v>
      </c>
      <c r="R26" s="179" t="s">
        <v>206</v>
      </c>
      <c r="S26" s="156"/>
      <c r="T26" s="156"/>
      <c r="U26" s="156"/>
      <c r="V26" s="162"/>
      <c r="W26" s="162"/>
      <c r="X26" s="162"/>
    </row>
    <row r="27" spans="1:24">
      <c r="A27" s="223">
        <f t="shared" si="0"/>
        <v>20</v>
      </c>
      <c r="B27" s="226" t="s">
        <v>220</v>
      </c>
      <c r="C27" s="612">
        <v>1</v>
      </c>
      <c r="D27" s="224" t="s">
        <v>203</v>
      </c>
      <c r="E27" s="179" t="s">
        <v>206</v>
      </c>
      <c r="F27" s="179" t="s">
        <v>206</v>
      </c>
      <c r="G27" s="179" t="s">
        <v>206</v>
      </c>
      <c r="H27" s="179" t="s">
        <v>206</v>
      </c>
      <c r="I27" s="179" t="s">
        <v>206</v>
      </c>
      <c r="J27" s="179" t="s">
        <v>206</v>
      </c>
      <c r="K27" s="179" t="s">
        <v>206</v>
      </c>
      <c r="L27" s="179" t="s">
        <v>206</v>
      </c>
      <c r="M27" s="179" t="s">
        <v>206</v>
      </c>
      <c r="N27" s="179" t="s">
        <v>206</v>
      </c>
      <c r="O27" s="179" t="s">
        <v>206</v>
      </c>
      <c r="P27" s="179" t="s">
        <v>206</v>
      </c>
      <c r="Q27" s="179" t="s">
        <v>206</v>
      </c>
      <c r="R27" s="179" t="s">
        <v>206</v>
      </c>
      <c r="S27" s="156"/>
      <c r="T27" s="156"/>
      <c r="U27" s="156"/>
      <c r="V27" s="162"/>
      <c r="W27" s="162"/>
      <c r="X27" s="162"/>
    </row>
    <row r="28" spans="1:24">
      <c r="A28" s="636">
        <f t="shared" si="0"/>
        <v>21</v>
      </c>
      <c r="B28" s="226" t="s">
        <v>221</v>
      </c>
      <c r="C28" s="612">
        <v>1</v>
      </c>
      <c r="D28" s="224" t="s">
        <v>203</v>
      </c>
      <c r="E28" s="179" t="s">
        <v>206</v>
      </c>
      <c r="F28" s="179" t="s">
        <v>206</v>
      </c>
      <c r="G28" s="179" t="s">
        <v>206</v>
      </c>
      <c r="H28" s="179" t="s">
        <v>206</v>
      </c>
      <c r="I28" s="179" t="s">
        <v>206</v>
      </c>
      <c r="J28" s="179" t="s">
        <v>206</v>
      </c>
      <c r="K28" s="179" t="s">
        <v>206</v>
      </c>
      <c r="L28" s="179" t="s">
        <v>206</v>
      </c>
      <c r="M28" s="179" t="s">
        <v>206</v>
      </c>
      <c r="N28" s="179" t="s">
        <v>206</v>
      </c>
      <c r="O28" s="179" t="s">
        <v>206</v>
      </c>
      <c r="P28" s="179" t="s">
        <v>206</v>
      </c>
      <c r="Q28" s="179" t="s">
        <v>206</v>
      </c>
      <c r="R28" s="179" t="s">
        <v>206</v>
      </c>
      <c r="S28" s="156"/>
      <c r="T28" s="156"/>
      <c r="U28" s="156"/>
      <c r="V28" s="162"/>
      <c r="W28" s="162"/>
      <c r="X28" s="162"/>
    </row>
    <row r="29" spans="1:24">
      <c r="A29" s="223">
        <f t="shared" si="0"/>
        <v>22</v>
      </c>
      <c r="B29" s="226" t="s">
        <v>222</v>
      </c>
      <c r="C29" s="612">
        <v>1</v>
      </c>
      <c r="D29" s="224" t="s">
        <v>203</v>
      </c>
      <c r="E29" s="179" t="s">
        <v>206</v>
      </c>
      <c r="F29" s="179" t="s">
        <v>206</v>
      </c>
      <c r="G29" s="179" t="s">
        <v>206</v>
      </c>
      <c r="H29" s="179" t="s">
        <v>206</v>
      </c>
      <c r="I29" s="179" t="s">
        <v>206</v>
      </c>
      <c r="J29" s="179" t="s">
        <v>206</v>
      </c>
      <c r="K29" s="179" t="s">
        <v>206</v>
      </c>
      <c r="L29" s="179" t="s">
        <v>206</v>
      </c>
      <c r="M29" s="179" t="s">
        <v>206</v>
      </c>
      <c r="N29" s="179" t="s">
        <v>206</v>
      </c>
      <c r="O29" s="179" t="s">
        <v>206</v>
      </c>
      <c r="P29" s="179" t="s">
        <v>206</v>
      </c>
      <c r="Q29" s="179" t="s">
        <v>206</v>
      </c>
      <c r="R29" s="179" t="s">
        <v>206</v>
      </c>
      <c r="S29" s="156"/>
      <c r="T29" s="156"/>
      <c r="U29" s="156"/>
      <c r="V29" s="162"/>
      <c r="W29" s="162"/>
      <c r="X29" s="162"/>
    </row>
    <row r="30" spans="1:24">
      <c r="A30" s="223">
        <f t="shared" si="0"/>
        <v>23</v>
      </c>
      <c r="B30" s="226" t="s">
        <v>223</v>
      </c>
      <c r="C30" s="612" t="s">
        <v>951</v>
      </c>
      <c r="D30" s="224" t="s">
        <v>204</v>
      </c>
      <c r="E30" s="180"/>
      <c r="F30" s="180"/>
      <c r="G30" s="179" t="s">
        <v>206</v>
      </c>
      <c r="H30" s="180"/>
      <c r="I30" s="180"/>
      <c r="J30" s="180"/>
      <c r="K30" s="180"/>
      <c r="L30" s="179" t="s">
        <v>206</v>
      </c>
      <c r="M30" s="179" t="s">
        <v>206</v>
      </c>
      <c r="N30" s="180"/>
      <c r="O30" s="180"/>
      <c r="P30" s="180"/>
      <c r="Q30" s="180"/>
      <c r="R30" s="180"/>
      <c r="S30" s="156"/>
      <c r="T30" s="156"/>
      <c r="U30" s="156"/>
      <c r="V30" s="162"/>
      <c r="W30" s="162"/>
      <c r="X30" s="162"/>
    </row>
    <row r="31" spans="1:24">
      <c r="A31" s="223">
        <f t="shared" si="0"/>
        <v>24</v>
      </c>
      <c r="B31" s="226" t="s">
        <v>224</v>
      </c>
      <c r="C31" s="612">
        <v>11</v>
      </c>
      <c r="D31" s="224" t="s">
        <v>204</v>
      </c>
      <c r="E31" s="180"/>
      <c r="F31" s="179" t="s">
        <v>206</v>
      </c>
      <c r="G31" s="180"/>
      <c r="H31" s="180"/>
      <c r="I31" s="180"/>
      <c r="J31" s="180"/>
      <c r="K31" s="180"/>
      <c r="L31" s="180"/>
      <c r="M31" s="180"/>
      <c r="N31" s="180"/>
      <c r="O31" s="180"/>
      <c r="P31" s="180"/>
      <c r="Q31" s="179" t="s">
        <v>206</v>
      </c>
      <c r="R31" s="180"/>
      <c r="S31" s="156"/>
      <c r="T31" s="156"/>
      <c r="U31" s="156"/>
      <c r="V31" s="162"/>
      <c r="W31" s="162"/>
      <c r="X31" s="162"/>
    </row>
    <row r="32" spans="1:24">
      <c r="A32" s="223">
        <f t="shared" si="0"/>
        <v>25</v>
      </c>
      <c r="B32" s="226" t="s">
        <v>225</v>
      </c>
      <c r="C32" s="612">
        <v>9</v>
      </c>
      <c r="D32" s="224" t="s">
        <v>204</v>
      </c>
      <c r="E32" s="180"/>
      <c r="F32" s="180"/>
      <c r="G32" s="179" t="s">
        <v>206</v>
      </c>
      <c r="H32" s="180"/>
      <c r="I32" s="180"/>
      <c r="J32" s="180"/>
      <c r="K32" s="180"/>
      <c r="L32" s="179" t="s">
        <v>206</v>
      </c>
      <c r="M32" s="179" t="s">
        <v>206</v>
      </c>
      <c r="N32" s="180"/>
      <c r="O32" s="180"/>
      <c r="P32" s="180"/>
      <c r="Q32" s="180"/>
      <c r="R32" s="180"/>
      <c r="S32" s="156"/>
      <c r="T32" s="156"/>
      <c r="U32" s="156"/>
      <c r="V32" s="162"/>
      <c r="W32" s="162"/>
      <c r="X32" s="162"/>
    </row>
    <row r="33" spans="1:24">
      <c r="A33" s="223">
        <f t="shared" si="0"/>
        <v>26</v>
      </c>
      <c r="B33" s="226" t="s">
        <v>226</v>
      </c>
      <c r="C33" s="612" t="s">
        <v>953</v>
      </c>
      <c r="D33" s="224" t="s">
        <v>204</v>
      </c>
      <c r="E33" s="180"/>
      <c r="F33" s="180"/>
      <c r="G33" s="179" t="s">
        <v>206</v>
      </c>
      <c r="H33" s="180"/>
      <c r="I33" s="180"/>
      <c r="J33" s="180"/>
      <c r="K33" s="180"/>
      <c r="L33" s="179" t="s">
        <v>206</v>
      </c>
      <c r="M33" s="179" t="s">
        <v>206</v>
      </c>
      <c r="N33" s="180"/>
      <c r="O33" s="180"/>
      <c r="P33" s="180"/>
      <c r="Q33" s="180"/>
      <c r="R33" s="180"/>
      <c r="S33" s="156"/>
      <c r="T33" s="156"/>
      <c r="U33" s="156"/>
      <c r="V33" s="162"/>
      <c r="W33" s="162"/>
      <c r="X33" s="162"/>
    </row>
    <row r="34" spans="1:24">
      <c r="A34" s="223">
        <f t="shared" si="0"/>
        <v>27</v>
      </c>
      <c r="B34" s="226" t="s">
        <v>227</v>
      </c>
      <c r="C34" s="612" t="s">
        <v>953</v>
      </c>
      <c r="D34" s="224" t="s">
        <v>204</v>
      </c>
      <c r="E34" s="179" t="s">
        <v>206</v>
      </c>
      <c r="F34" s="179" t="s">
        <v>206</v>
      </c>
      <c r="G34" s="179" t="s">
        <v>206</v>
      </c>
      <c r="H34" s="179" t="s">
        <v>206</v>
      </c>
      <c r="I34" s="179" t="s">
        <v>206</v>
      </c>
      <c r="J34" s="180"/>
      <c r="K34" s="179" t="s">
        <v>206</v>
      </c>
      <c r="L34" s="179" t="s">
        <v>206</v>
      </c>
      <c r="M34" s="179" t="s">
        <v>206</v>
      </c>
      <c r="N34" s="180"/>
      <c r="O34" s="179" t="s">
        <v>206</v>
      </c>
      <c r="P34" s="180"/>
      <c r="Q34" s="180"/>
      <c r="R34" s="180"/>
      <c r="S34" s="156"/>
      <c r="T34" s="156"/>
      <c r="U34" s="156"/>
      <c r="V34" s="162"/>
      <c r="W34" s="162"/>
      <c r="X34" s="162"/>
    </row>
    <row r="35" spans="1:24">
      <c r="A35" s="223">
        <f t="shared" si="0"/>
        <v>28</v>
      </c>
      <c r="B35" s="226" t="s">
        <v>228</v>
      </c>
      <c r="C35" s="612" t="s">
        <v>954</v>
      </c>
      <c r="D35" s="224" t="s">
        <v>204</v>
      </c>
      <c r="E35" s="179" t="s">
        <v>206</v>
      </c>
      <c r="F35" s="179" t="s">
        <v>206</v>
      </c>
      <c r="G35" s="179" t="s">
        <v>206</v>
      </c>
      <c r="H35" s="179" t="s">
        <v>206</v>
      </c>
      <c r="I35" s="179" t="s">
        <v>206</v>
      </c>
      <c r="J35" s="179" t="s">
        <v>206</v>
      </c>
      <c r="K35" s="179" t="s">
        <v>206</v>
      </c>
      <c r="L35" s="179" t="s">
        <v>206</v>
      </c>
      <c r="M35" s="179" t="s">
        <v>206</v>
      </c>
      <c r="N35" s="179" t="s">
        <v>206</v>
      </c>
      <c r="O35" s="179"/>
      <c r="P35" s="180"/>
      <c r="Q35" s="180"/>
      <c r="R35" s="180"/>
      <c r="S35" s="156"/>
      <c r="T35" s="156"/>
      <c r="U35" s="156"/>
      <c r="V35" s="162"/>
      <c r="W35" s="162"/>
      <c r="X35" s="162"/>
    </row>
    <row r="36" spans="1:24">
      <c r="A36" s="223">
        <f t="shared" si="0"/>
        <v>29</v>
      </c>
      <c r="B36" s="226" t="s">
        <v>229</v>
      </c>
      <c r="C36" s="612" t="s">
        <v>953</v>
      </c>
      <c r="D36" s="224" t="s">
        <v>204</v>
      </c>
      <c r="E36" s="179"/>
      <c r="F36" s="179"/>
      <c r="G36" s="179" t="s">
        <v>206</v>
      </c>
      <c r="H36" s="179"/>
      <c r="I36" s="179"/>
      <c r="J36" s="179"/>
      <c r="K36" s="179" t="s">
        <v>206</v>
      </c>
      <c r="L36" s="179" t="s">
        <v>206</v>
      </c>
      <c r="M36" s="179"/>
      <c r="N36" s="179" t="s">
        <v>206</v>
      </c>
      <c r="O36" s="180"/>
      <c r="P36" s="180"/>
      <c r="Q36" s="180"/>
      <c r="R36" s="180"/>
      <c r="S36" s="156"/>
      <c r="T36" s="156"/>
      <c r="U36" s="156"/>
      <c r="V36" s="162"/>
      <c r="W36" s="162"/>
      <c r="X36" s="162"/>
    </row>
    <row r="37" spans="1:24">
      <c r="A37" s="223">
        <f t="shared" si="0"/>
        <v>30</v>
      </c>
      <c r="B37" s="226" t="s">
        <v>230</v>
      </c>
      <c r="C37" s="612">
        <v>11</v>
      </c>
      <c r="D37" s="224" t="s">
        <v>204</v>
      </c>
      <c r="E37" s="180"/>
      <c r="F37" s="179" t="s">
        <v>206</v>
      </c>
      <c r="G37" s="180"/>
      <c r="H37" s="180"/>
      <c r="I37" s="180"/>
      <c r="J37" s="180"/>
      <c r="K37" s="179" t="s">
        <v>206</v>
      </c>
      <c r="L37" s="180"/>
      <c r="M37" s="180"/>
      <c r="N37" s="180"/>
      <c r="O37" s="180"/>
      <c r="P37" s="180"/>
      <c r="Q37" s="179" t="s">
        <v>206</v>
      </c>
      <c r="R37" s="180"/>
      <c r="S37" s="156"/>
      <c r="T37" s="156"/>
      <c r="U37" s="156"/>
      <c r="V37" s="162"/>
      <c r="W37" s="162"/>
      <c r="X37" s="162"/>
    </row>
    <row r="38" spans="1:24">
      <c r="A38" s="223">
        <f t="shared" si="0"/>
        <v>31</v>
      </c>
      <c r="B38" s="226" t="s">
        <v>955</v>
      </c>
      <c r="C38" s="612">
        <v>6</v>
      </c>
      <c r="D38" s="224" t="s">
        <v>204</v>
      </c>
      <c r="E38" s="180"/>
      <c r="F38" s="180"/>
      <c r="G38" s="180"/>
      <c r="H38" s="180"/>
      <c r="I38" s="180"/>
      <c r="J38" s="180"/>
      <c r="K38" s="180"/>
      <c r="L38" s="179" t="s">
        <v>206</v>
      </c>
      <c r="M38" s="180"/>
      <c r="N38" s="180"/>
      <c r="O38" s="180"/>
      <c r="P38" s="180"/>
      <c r="Q38" s="180"/>
      <c r="R38" s="180"/>
      <c r="S38" s="156"/>
      <c r="T38" s="156"/>
      <c r="U38" s="156"/>
      <c r="V38" s="162"/>
      <c r="W38" s="162"/>
      <c r="X38" s="162"/>
    </row>
    <row r="39" spans="1:24">
      <c r="A39" s="223">
        <f t="shared" si="0"/>
        <v>32</v>
      </c>
      <c r="B39" s="226" t="s">
        <v>969</v>
      </c>
      <c r="C39" s="612" t="s">
        <v>956</v>
      </c>
      <c r="D39" s="224" t="s">
        <v>204</v>
      </c>
      <c r="E39" s="179" t="s">
        <v>206</v>
      </c>
      <c r="F39" s="179" t="s">
        <v>206</v>
      </c>
      <c r="G39" s="179" t="s">
        <v>206</v>
      </c>
      <c r="H39" s="179" t="s">
        <v>206</v>
      </c>
      <c r="I39" s="179" t="s">
        <v>206</v>
      </c>
      <c r="J39" s="180"/>
      <c r="K39" s="179" t="s">
        <v>206</v>
      </c>
      <c r="L39" s="179" t="s">
        <v>206</v>
      </c>
      <c r="M39" s="179" t="s">
        <v>206</v>
      </c>
      <c r="N39" s="179" t="s">
        <v>206</v>
      </c>
      <c r="O39" s="179" t="s">
        <v>206</v>
      </c>
      <c r="P39" s="179" t="s">
        <v>206</v>
      </c>
      <c r="Q39" s="179" t="s">
        <v>206</v>
      </c>
      <c r="R39" s="180"/>
      <c r="S39" s="156"/>
      <c r="T39" s="156"/>
      <c r="U39" s="156"/>
      <c r="V39" s="162"/>
      <c r="W39" s="162"/>
      <c r="X39" s="162"/>
    </row>
    <row r="40" spans="1:24">
      <c r="A40" s="223">
        <f t="shared" si="0"/>
        <v>33</v>
      </c>
      <c r="B40" s="614" t="s">
        <v>970</v>
      </c>
      <c r="C40" s="616" t="s">
        <v>971</v>
      </c>
      <c r="D40" s="224" t="s">
        <v>204</v>
      </c>
      <c r="E40" s="179" t="s">
        <v>206</v>
      </c>
      <c r="F40" s="615"/>
      <c r="G40" s="615"/>
      <c r="H40" s="179" t="s">
        <v>206</v>
      </c>
      <c r="I40" s="615"/>
      <c r="J40" s="179" t="s">
        <v>206</v>
      </c>
      <c r="K40" s="615"/>
      <c r="L40" s="179" t="s">
        <v>206</v>
      </c>
      <c r="M40" s="179" t="s">
        <v>206</v>
      </c>
      <c r="N40" s="615"/>
      <c r="O40" s="615"/>
      <c r="P40" s="179" t="s">
        <v>206</v>
      </c>
      <c r="Q40" s="179" t="s">
        <v>206</v>
      </c>
      <c r="R40" s="179" t="s">
        <v>206</v>
      </c>
      <c r="S40" s="156"/>
      <c r="T40" s="156"/>
      <c r="U40" s="156"/>
      <c r="V40" s="162"/>
      <c r="W40" s="162"/>
      <c r="X40" s="162"/>
    </row>
    <row r="41" spans="1:24">
      <c r="A41" s="223">
        <f t="shared" si="0"/>
        <v>34</v>
      </c>
      <c r="B41" s="227" t="s">
        <v>231</v>
      </c>
      <c r="C41" s="612">
        <v>3</v>
      </c>
      <c r="D41" s="224" t="s">
        <v>204</v>
      </c>
      <c r="E41" s="180"/>
      <c r="F41" s="179" t="s">
        <v>206</v>
      </c>
      <c r="G41" s="180"/>
      <c r="H41" s="180"/>
      <c r="I41" s="180"/>
      <c r="J41" s="180"/>
      <c r="K41" s="179" t="s">
        <v>206</v>
      </c>
      <c r="L41" s="180"/>
      <c r="M41" s="180"/>
      <c r="N41" s="180"/>
      <c r="O41" s="180"/>
      <c r="P41" s="180"/>
      <c r="Q41" s="180"/>
      <c r="R41" s="180"/>
      <c r="S41" s="156"/>
      <c r="T41" s="156"/>
      <c r="U41" s="156"/>
      <c r="V41" s="162"/>
      <c r="W41" s="162"/>
      <c r="X41" s="162"/>
    </row>
    <row r="42" spans="1:24">
      <c r="A42" s="223">
        <f t="shared" si="0"/>
        <v>35</v>
      </c>
      <c r="B42" s="226" t="s">
        <v>232</v>
      </c>
      <c r="C42" s="612" t="s">
        <v>957</v>
      </c>
      <c r="D42" s="224" t="s">
        <v>204</v>
      </c>
      <c r="E42" s="180"/>
      <c r="F42" s="180"/>
      <c r="G42" s="180"/>
      <c r="H42" s="179" t="s">
        <v>206</v>
      </c>
      <c r="I42" s="180"/>
      <c r="J42" s="180"/>
      <c r="K42" s="179" t="s">
        <v>206</v>
      </c>
      <c r="L42" s="179" t="s">
        <v>206</v>
      </c>
      <c r="M42" s="180"/>
      <c r="N42" s="180"/>
      <c r="O42" s="180"/>
      <c r="P42" s="180"/>
      <c r="Q42" s="180"/>
      <c r="R42" s="180"/>
      <c r="S42" s="156"/>
      <c r="T42" s="156"/>
      <c r="U42" s="156"/>
      <c r="V42" s="162"/>
      <c r="W42" s="162"/>
      <c r="X42" s="162"/>
    </row>
    <row r="43" spans="1:24">
      <c r="A43" s="223">
        <f t="shared" si="0"/>
        <v>36</v>
      </c>
      <c r="B43" s="226" t="s">
        <v>233</v>
      </c>
      <c r="C43" s="612">
        <v>3</v>
      </c>
      <c r="D43" s="224" t="s">
        <v>204</v>
      </c>
      <c r="E43" s="179" t="s">
        <v>206</v>
      </c>
      <c r="F43" s="179" t="s">
        <v>206</v>
      </c>
      <c r="G43" s="179" t="s">
        <v>206</v>
      </c>
      <c r="H43" s="179" t="s">
        <v>206</v>
      </c>
      <c r="I43" s="180"/>
      <c r="J43" s="179" t="s">
        <v>206</v>
      </c>
      <c r="K43" s="179" t="s">
        <v>206</v>
      </c>
      <c r="L43" s="179" t="s">
        <v>206</v>
      </c>
      <c r="M43" s="180"/>
      <c r="N43" s="180"/>
      <c r="O43" s="180"/>
      <c r="P43" s="180"/>
      <c r="Q43" s="180"/>
      <c r="R43" s="180"/>
      <c r="S43" s="156"/>
      <c r="T43" s="156"/>
      <c r="U43" s="156"/>
      <c r="V43" s="162"/>
      <c r="W43" s="162"/>
      <c r="X43" s="162"/>
    </row>
    <row r="44" spans="1:24">
      <c r="A44" s="223">
        <f t="shared" si="0"/>
        <v>37</v>
      </c>
      <c r="B44" s="227" t="s">
        <v>234</v>
      </c>
      <c r="C44" s="612" t="s">
        <v>1205</v>
      </c>
      <c r="D44" s="224" t="s">
        <v>204</v>
      </c>
      <c r="E44" s="180"/>
      <c r="F44" s="180"/>
      <c r="G44" s="180"/>
      <c r="H44" s="179"/>
      <c r="I44" s="180"/>
      <c r="J44" s="180"/>
      <c r="K44" s="180"/>
      <c r="L44" s="180"/>
      <c r="M44" s="180"/>
      <c r="N44" s="180"/>
      <c r="O44" s="180"/>
      <c r="P44" s="180"/>
      <c r="Q44" s="180"/>
      <c r="R44" s="180" t="s">
        <v>1185</v>
      </c>
      <c r="S44" s="156"/>
      <c r="T44" s="156"/>
      <c r="U44" s="156"/>
      <c r="V44" s="162"/>
      <c r="W44" s="162"/>
      <c r="X44" s="162"/>
    </row>
    <row r="45" spans="1:24">
      <c r="A45" s="223">
        <f t="shared" si="0"/>
        <v>38</v>
      </c>
      <c r="B45" s="227" t="s">
        <v>958</v>
      </c>
      <c r="C45" s="178" t="s">
        <v>959</v>
      </c>
      <c r="D45" s="224" t="s">
        <v>204</v>
      </c>
      <c r="E45" s="179" t="s">
        <v>206</v>
      </c>
      <c r="F45" s="179" t="s">
        <v>206</v>
      </c>
      <c r="G45" s="179" t="s">
        <v>206</v>
      </c>
      <c r="H45" s="179" t="s">
        <v>206</v>
      </c>
      <c r="I45" s="179" t="s">
        <v>206</v>
      </c>
      <c r="J45" s="180"/>
      <c r="K45" s="179" t="s">
        <v>206</v>
      </c>
      <c r="L45" s="179" t="s">
        <v>206</v>
      </c>
      <c r="M45" s="179" t="s">
        <v>206</v>
      </c>
      <c r="N45" s="179" t="s">
        <v>206</v>
      </c>
      <c r="O45" s="179" t="s">
        <v>206</v>
      </c>
      <c r="P45" s="179" t="s">
        <v>206</v>
      </c>
      <c r="Q45" s="179" t="s">
        <v>206</v>
      </c>
      <c r="R45" s="180"/>
      <c r="S45" s="156"/>
      <c r="T45" s="156"/>
      <c r="U45" s="156"/>
      <c r="V45" s="162"/>
      <c r="W45" s="162"/>
      <c r="X45" s="162"/>
    </row>
    <row r="46" spans="1:24">
      <c r="A46" s="223">
        <f t="shared" si="0"/>
        <v>39</v>
      </c>
      <c r="B46" s="227" t="s">
        <v>235</v>
      </c>
      <c r="C46" s="178" t="s">
        <v>959</v>
      </c>
      <c r="D46" s="224" t="s">
        <v>204</v>
      </c>
      <c r="E46" s="179" t="s">
        <v>206</v>
      </c>
      <c r="F46" s="179" t="s">
        <v>206</v>
      </c>
      <c r="G46" s="179" t="s">
        <v>206</v>
      </c>
      <c r="H46" s="179" t="s">
        <v>206</v>
      </c>
      <c r="I46" s="179" t="s">
        <v>206</v>
      </c>
      <c r="J46" s="179" t="s">
        <v>206</v>
      </c>
      <c r="K46" s="179" t="s">
        <v>206</v>
      </c>
      <c r="L46" s="179" t="s">
        <v>206</v>
      </c>
      <c r="M46" s="179" t="s">
        <v>206</v>
      </c>
      <c r="N46" s="179" t="s">
        <v>206</v>
      </c>
      <c r="O46" s="179" t="s">
        <v>206</v>
      </c>
      <c r="P46" s="179" t="s">
        <v>206</v>
      </c>
      <c r="Q46" s="179" t="s">
        <v>206</v>
      </c>
      <c r="R46" s="179" t="s">
        <v>206</v>
      </c>
      <c r="S46" s="156"/>
      <c r="T46" s="156"/>
      <c r="U46" s="156"/>
      <c r="V46" s="162"/>
      <c r="W46" s="162"/>
      <c r="X46" s="162"/>
    </row>
    <row r="47" spans="1:24">
      <c r="A47" s="223">
        <f t="shared" si="0"/>
        <v>40</v>
      </c>
      <c r="B47" s="227" t="s">
        <v>236</v>
      </c>
      <c r="C47" s="224" t="s">
        <v>959</v>
      </c>
      <c r="D47" s="224" t="s">
        <v>204</v>
      </c>
      <c r="E47" s="179" t="s">
        <v>206</v>
      </c>
      <c r="F47" s="179" t="s">
        <v>206</v>
      </c>
      <c r="G47" s="179" t="s">
        <v>206</v>
      </c>
      <c r="H47" s="179" t="s">
        <v>206</v>
      </c>
      <c r="I47" s="179" t="s">
        <v>206</v>
      </c>
      <c r="J47" s="179" t="s">
        <v>206</v>
      </c>
      <c r="K47" s="179" t="s">
        <v>206</v>
      </c>
      <c r="L47" s="179" t="s">
        <v>206</v>
      </c>
      <c r="M47" s="179" t="s">
        <v>206</v>
      </c>
      <c r="N47" s="179" t="s">
        <v>206</v>
      </c>
      <c r="O47" s="179" t="s">
        <v>206</v>
      </c>
      <c r="P47" s="179" t="s">
        <v>206</v>
      </c>
      <c r="Q47" s="179" t="s">
        <v>206</v>
      </c>
      <c r="R47" s="179" t="s">
        <v>206</v>
      </c>
      <c r="S47" s="156"/>
      <c r="T47" s="156"/>
      <c r="U47" s="156"/>
      <c r="V47" s="162"/>
      <c r="W47" s="162"/>
      <c r="X47" s="162"/>
    </row>
    <row r="48" spans="1:24">
      <c r="A48" s="223">
        <f t="shared" si="0"/>
        <v>41</v>
      </c>
      <c r="B48" s="227" t="s">
        <v>237</v>
      </c>
      <c r="C48" s="224" t="s">
        <v>959</v>
      </c>
      <c r="D48" s="224" t="s">
        <v>204</v>
      </c>
      <c r="E48" s="179" t="s">
        <v>206</v>
      </c>
      <c r="F48" s="179" t="s">
        <v>206</v>
      </c>
      <c r="G48" s="179" t="s">
        <v>206</v>
      </c>
      <c r="H48" s="179" t="s">
        <v>206</v>
      </c>
      <c r="I48" s="179" t="s">
        <v>206</v>
      </c>
      <c r="J48" s="179" t="s">
        <v>206</v>
      </c>
      <c r="K48" s="179" t="s">
        <v>206</v>
      </c>
      <c r="L48" s="179" t="s">
        <v>206</v>
      </c>
      <c r="M48" s="179" t="s">
        <v>206</v>
      </c>
      <c r="N48" s="179" t="s">
        <v>206</v>
      </c>
      <c r="O48" s="179" t="s">
        <v>206</v>
      </c>
      <c r="P48" s="179" t="s">
        <v>206</v>
      </c>
      <c r="Q48" s="179" t="s">
        <v>206</v>
      </c>
      <c r="R48" s="179" t="s">
        <v>206</v>
      </c>
      <c r="S48" s="156"/>
      <c r="T48" s="156"/>
      <c r="U48" s="156"/>
      <c r="V48" s="162"/>
      <c r="W48" s="162"/>
      <c r="X48" s="162"/>
    </row>
    <row r="49" spans="1:24">
      <c r="A49" s="223">
        <f t="shared" si="0"/>
        <v>42</v>
      </c>
      <c r="B49" s="227" t="s">
        <v>960</v>
      </c>
      <c r="C49" s="224" t="s">
        <v>959</v>
      </c>
      <c r="D49" s="224" t="s">
        <v>204</v>
      </c>
      <c r="E49" s="179" t="s">
        <v>206</v>
      </c>
      <c r="F49" s="179" t="s">
        <v>206</v>
      </c>
      <c r="G49" s="179" t="s">
        <v>206</v>
      </c>
      <c r="H49" s="179" t="s">
        <v>206</v>
      </c>
      <c r="I49" s="179" t="s">
        <v>206</v>
      </c>
      <c r="J49" s="179" t="s">
        <v>206</v>
      </c>
      <c r="K49" s="179" t="s">
        <v>206</v>
      </c>
      <c r="L49" s="179" t="s">
        <v>206</v>
      </c>
      <c r="M49" s="179" t="s">
        <v>206</v>
      </c>
      <c r="N49" s="179" t="s">
        <v>206</v>
      </c>
      <c r="O49" s="179" t="s">
        <v>206</v>
      </c>
      <c r="P49" s="179" t="s">
        <v>206</v>
      </c>
      <c r="Q49" s="179" t="s">
        <v>206</v>
      </c>
      <c r="R49" s="179" t="s">
        <v>206</v>
      </c>
      <c r="S49" s="156"/>
      <c r="T49" s="156"/>
      <c r="U49" s="156"/>
      <c r="V49" s="162"/>
      <c r="W49" s="162"/>
      <c r="X49" s="162"/>
    </row>
    <row r="50" spans="1:24">
      <c r="A50" s="223">
        <f t="shared" si="0"/>
        <v>43</v>
      </c>
      <c r="B50" s="226" t="s">
        <v>238</v>
      </c>
      <c r="C50" s="178" t="s">
        <v>959</v>
      </c>
      <c r="D50" s="224" t="s">
        <v>204</v>
      </c>
      <c r="E50" s="179" t="s">
        <v>206</v>
      </c>
      <c r="F50" s="179" t="s">
        <v>206</v>
      </c>
      <c r="G50" s="179" t="s">
        <v>206</v>
      </c>
      <c r="H50" s="179" t="s">
        <v>206</v>
      </c>
      <c r="I50" s="179" t="s">
        <v>206</v>
      </c>
      <c r="J50" s="180"/>
      <c r="K50" s="179" t="s">
        <v>206</v>
      </c>
      <c r="L50" s="179" t="s">
        <v>206</v>
      </c>
      <c r="M50" s="179" t="s">
        <v>206</v>
      </c>
      <c r="N50" s="179" t="s">
        <v>206</v>
      </c>
      <c r="O50" s="179" t="s">
        <v>206</v>
      </c>
      <c r="P50" s="179" t="s">
        <v>206</v>
      </c>
      <c r="Q50" s="179" t="s">
        <v>206</v>
      </c>
      <c r="R50" s="180"/>
      <c r="S50" s="156"/>
      <c r="T50" s="156"/>
      <c r="U50" s="156"/>
      <c r="V50" s="162"/>
      <c r="W50" s="162"/>
      <c r="X50" s="162"/>
    </row>
    <row r="51" spans="1:24">
      <c r="A51" s="223">
        <f t="shared" si="0"/>
        <v>44</v>
      </c>
      <c r="B51" s="226" t="s">
        <v>239</v>
      </c>
      <c r="C51" s="178" t="s">
        <v>961</v>
      </c>
      <c r="D51" s="224" t="s">
        <v>204</v>
      </c>
      <c r="E51" s="180"/>
      <c r="F51" s="179" t="s">
        <v>206</v>
      </c>
      <c r="G51" s="180"/>
      <c r="H51" s="180"/>
      <c r="I51" s="179" t="s">
        <v>206</v>
      </c>
      <c r="J51" s="180"/>
      <c r="K51" s="180"/>
      <c r="L51" s="180"/>
      <c r="M51" s="180"/>
      <c r="N51" s="180"/>
      <c r="O51" s="180"/>
      <c r="P51" s="180"/>
      <c r="Q51" s="180"/>
      <c r="R51" s="180"/>
      <c r="S51" s="156"/>
      <c r="T51" s="156"/>
      <c r="U51" s="156"/>
      <c r="V51" s="162"/>
      <c r="W51" s="162"/>
      <c r="X51" s="162"/>
    </row>
    <row r="52" spans="1:24">
      <c r="A52" s="223">
        <f t="shared" si="0"/>
        <v>45</v>
      </c>
      <c r="B52" s="226" t="s">
        <v>972</v>
      </c>
      <c r="C52" s="178"/>
      <c r="D52" s="224" t="s">
        <v>204</v>
      </c>
      <c r="E52" s="180"/>
      <c r="F52" s="180"/>
      <c r="G52" s="180"/>
      <c r="H52" s="180"/>
      <c r="I52" s="180"/>
      <c r="J52" s="180"/>
      <c r="K52" s="180"/>
      <c r="L52" s="180"/>
      <c r="M52" s="180"/>
      <c r="N52" s="180"/>
      <c r="O52" s="180"/>
      <c r="P52" s="180"/>
      <c r="Q52" s="180"/>
      <c r="R52" s="180"/>
      <c r="S52" s="156"/>
      <c r="T52" s="156"/>
      <c r="U52" s="156"/>
      <c r="V52" s="162"/>
      <c r="W52" s="162"/>
      <c r="X52" s="162"/>
    </row>
    <row r="53" spans="1:24">
      <c r="A53" s="223">
        <f t="shared" si="0"/>
        <v>46</v>
      </c>
      <c r="B53" s="226" t="s">
        <v>240</v>
      </c>
      <c r="C53" s="178">
        <v>6</v>
      </c>
      <c r="D53" s="224" t="s">
        <v>204</v>
      </c>
      <c r="E53" s="180"/>
      <c r="F53" s="180"/>
      <c r="G53" s="180"/>
      <c r="H53" s="179" t="s">
        <v>206</v>
      </c>
      <c r="I53" s="180"/>
      <c r="J53" s="180"/>
      <c r="K53" s="180"/>
      <c r="L53" s="180"/>
      <c r="M53" s="180"/>
      <c r="N53" s="180"/>
      <c r="O53" s="180"/>
      <c r="P53" s="180"/>
      <c r="Q53" s="180"/>
      <c r="R53" s="180"/>
      <c r="S53" s="156"/>
      <c r="T53" s="156"/>
      <c r="U53" s="156"/>
      <c r="V53" s="162"/>
      <c r="W53" s="162"/>
      <c r="X53" s="162"/>
    </row>
    <row r="54" spans="1:24">
      <c r="A54" s="223">
        <f t="shared" si="0"/>
        <v>47</v>
      </c>
      <c r="B54" s="227" t="s">
        <v>241</v>
      </c>
      <c r="C54" s="178">
        <v>9</v>
      </c>
      <c r="D54" s="224" t="s">
        <v>204</v>
      </c>
      <c r="E54" s="179" t="s">
        <v>206</v>
      </c>
      <c r="F54" s="179" t="s">
        <v>206</v>
      </c>
      <c r="G54" s="179" t="s">
        <v>206</v>
      </c>
      <c r="H54" s="179" t="s">
        <v>206</v>
      </c>
      <c r="I54" s="179" t="s">
        <v>206</v>
      </c>
      <c r="J54" s="180"/>
      <c r="K54" s="179" t="s">
        <v>206</v>
      </c>
      <c r="L54" s="179" t="s">
        <v>206</v>
      </c>
      <c r="M54" s="179" t="s">
        <v>206</v>
      </c>
      <c r="N54" s="180"/>
      <c r="O54" s="180"/>
      <c r="P54" s="180"/>
      <c r="Q54" s="180"/>
      <c r="R54" s="180"/>
      <c r="S54" s="156"/>
      <c r="T54" s="156"/>
      <c r="U54" s="156"/>
      <c r="V54" s="162"/>
      <c r="W54" s="162"/>
      <c r="X54" s="162"/>
    </row>
    <row r="55" spans="1:24">
      <c r="A55" s="223">
        <f t="shared" si="0"/>
        <v>48</v>
      </c>
      <c r="B55" s="227" t="s">
        <v>242</v>
      </c>
      <c r="C55" s="178" t="s">
        <v>962</v>
      </c>
      <c r="D55" s="224" t="s">
        <v>204</v>
      </c>
      <c r="E55" s="179" t="s">
        <v>206</v>
      </c>
      <c r="F55" s="179" t="s">
        <v>206</v>
      </c>
      <c r="G55" s="179" t="s">
        <v>206</v>
      </c>
      <c r="H55" s="180"/>
      <c r="I55" s="180"/>
      <c r="J55" s="180"/>
      <c r="K55" s="179" t="s">
        <v>206</v>
      </c>
      <c r="L55" s="180"/>
      <c r="M55" s="180"/>
      <c r="N55" s="179" t="s">
        <v>206</v>
      </c>
      <c r="O55" s="179" t="s">
        <v>206</v>
      </c>
      <c r="P55" s="179" t="s">
        <v>206</v>
      </c>
      <c r="Q55" s="179" t="s">
        <v>206</v>
      </c>
      <c r="R55" s="180"/>
      <c r="S55" s="156"/>
      <c r="T55" s="156"/>
      <c r="U55" s="156"/>
      <c r="V55" s="162"/>
      <c r="W55" s="162"/>
      <c r="X55" s="162"/>
    </row>
    <row r="56" spans="1:24">
      <c r="A56" s="223">
        <f t="shared" si="0"/>
        <v>49</v>
      </c>
      <c r="B56" s="226" t="s">
        <v>243</v>
      </c>
      <c r="C56" s="178">
        <v>11</v>
      </c>
      <c r="D56" s="224" t="s">
        <v>204</v>
      </c>
      <c r="E56" s="180"/>
      <c r="F56" s="179" t="s">
        <v>206</v>
      </c>
      <c r="G56" s="180"/>
      <c r="H56" s="180"/>
      <c r="I56" s="180"/>
      <c r="J56" s="180"/>
      <c r="K56" s="180"/>
      <c r="L56" s="179" t="s">
        <v>206</v>
      </c>
      <c r="M56" s="180"/>
      <c r="N56" s="180"/>
      <c r="O56" s="180"/>
      <c r="P56" s="180"/>
      <c r="Q56" s="179" t="s">
        <v>206</v>
      </c>
      <c r="R56" s="180"/>
      <c r="S56" s="160"/>
      <c r="T56" s="160"/>
      <c r="U56" s="160"/>
    </row>
    <row r="57" spans="1:24">
      <c r="A57" s="223">
        <f t="shared" si="0"/>
        <v>50</v>
      </c>
      <c r="B57" s="226" t="s">
        <v>968</v>
      </c>
      <c r="C57" s="178" t="s">
        <v>952</v>
      </c>
      <c r="D57" s="224" t="s">
        <v>204</v>
      </c>
      <c r="E57" s="179" t="s">
        <v>206</v>
      </c>
      <c r="F57" s="179" t="s">
        <v>206</v>
      </c>
      <c r="G57" s="180"/>
      <c r="H57" s="180"/>
      <c r="I57" s="179" t="s">
        <v>206</v>
      </c>
      <c r="J57" s="180"/>
      <c r="K57" s="180"/>
      <c r="L57" s="180"/>
      <c r="M57" s="180"/>
      <c r="N57" s="179" t="s">
        <v>206</v>
      </c>
      <c r="O57" s="179" t="s">
        <v>206</v>
      </c>
      <c r="P57" s="180"/>
      <c r="Q57" s="180"/>
      <c r="R57" s="180"/>
      <c r="S57" s="160"/>
      <c r="T57" s="160"/>
      <c r="U57" s="160"/>
    </row>
    <row r="58" spans="1:24">
      <c r="A58" s="223">
        <f t="shared" si="0"/>
        <v>51</v>
      </c>
      <c r="B58" s="227" t="s">
        <v>244</v>
      </c>
      <c r="C58" s="178" t="s">
        <v>966</v>
      </c>
      <c r="D58" s="224" t="s">
        <v>204</v>
      </c>
      <c r="E58" s="180"/>
      <c r="F58" s="180"/>
      <c r="G58" s="180"/>
      <c r="H58" s="180"/>
      <c r="I58" s="180"/>
      <c r="J58" s="180"/>
      <c r="K58" s="180"/>
      <c r="L58" s="180"/>
      <c r="M58" s="179" t="s">
        <v>206</v>
      </c>
      <c r="N58" s="180"/>
      <c r="O58" s="180"/>
      <c r="P58" s="180"/>
      <c r="Q58" s="179" t="s">
        <v>206</v>
      </c>
      <c r="R58" s="180"/>
      <c r="S58" s="160"/>
      <c r="T58" s="160"/>
      <c r="U58" s="160"/>
    </row>
    <row r="59" spans="1:24">
      <c r="A59" s="223">
        <f t="shared" si="0"/>
        <v>52</v>
      </c>
      <c r="B59" s="226" t="s">
        <v>245</v>
      </c>
      <c r="C59" s="612" t="s">
        <v>963</v>
      </c>
      <c r="D59" s="224" t="s">
        <v>204</v>
      </c>
      <c r="E59" s="180"/>
      <c r="F59" s="180"/>
      <c r="G59" s="180"/>
      <c r="H59" s="179" t="s">
        <v>206</v>
      </c>
      <c r="I59" s="180"/>
      <c r="J59" s="180"/>
      <c r="K59" s="180"/>
      <c r="L59" s="180"/>
      <c r="M59" s="180"/>
      <c r="N59" s="180"/>
      <c r="O59" s="180"/>
      <c r="P59" s="179" t="s">
        <v>206</v>
      </c>
      <c r="Q59" s="179" t="s">
        <v>206</v>
      </c>
      <c r="R59" s="180"/>
      <c r="S59" s="160"/>
      <c r="T59" s="160"/>
      <c r="U59" s="160"/>
    </row>
    <row r="60" spans="1:24">
      <c r="A60" s="223">
        <f t="shared" si="0"/>
        <v>53</v>
      </c>
      <c r="B60" s="226" t="s">
        <v>246</v>
      </c>
      <c r="C60" s="178" t="s">
        <v>967</v>
      </c>
      <c r="D60" s="224" t="s">
        <v>204</v>
      </c>
      <c r="E60" s="179" t="s">
        <v>206</v>
      </c>
      <c r="F60" s="179" t="s">
        <v>206</v>
      </c>
      <c r="G60" s="179" t="s">
        <v>206</v>
      </c>
      <c r="H60" s="179" t="s">
        <v>206</v>
      </c>
      <c r="I60" s="179" t="s">
        <v>206</v>
      </c>
      <c r="J60" s="179" t="s">
        <v>206</v>
      </c>
      <c r="K60" s="179" t="s">
        <v>206</v>
      </c>
      <c r="L60" s="179" t="s">
        <v>206</v>
      </c>
      <c r="M60" s="179" t="s">
        <v>206</v>
      </c>
      <c r="N60" s="179" t="s">
        <v>206</v>
      </c>
      <c r="O60" s="179" t="s">
        <v>206</v>
      </c>
      <c r="P60" s="179" t="s">
        <v>206</v>
      </c>
      <c r="Q60" s="179" t="s">
        <v>206</v>
      </c>
      <c r="R60" s="179" t="s">
        <v>206</v>
      </c>
      <c r="S60" s="156"/>
      <c r="T60" s="156"/>
      <c r="U60" s="156"/>
      <c r="V60" s="162"/>
      <c r="W60" s="162"/>
      <c r="X60" s="162"/>
    </row>
    <row r="61" spans="1:24">
      <c r="A61" s="223">
        <f t="shared" si="0"/>
        <v>54</v>
      </c>
      <c r="B61" s="227" t="s">
        <v>328</v>
      </c>
      <c r="C61" s="178">
        <v>11</v>
      </c>
      <c r="D61" s="224" t="s">
        <v>204</v>
      </c>
      <c r="E61" s="180"/>
      <c r="F61" s="179" t="s">
        <v>206</v>
      </c>
      <c r="G61" s="180"/>
      <c r="H61" s="180"/>
      <c r="I61" s="180"/>
      <c r="J61" s="180"/>
      <c r="K61" s="179" t="s">
        <v>206</v>
      </c>
      <c r="L61" s="180"/>
      <c r="M61" s="180"/>
      <c r="N61" s="180"/>
      <c r="O61" s="180"/>
      <c r="P61" s="180"/>
      <c r="Q61" s="179" t="s">
        <v>206</v>
      </c>
      <c r="R61" s="180"/>
      <c r="S61" s="156"/>
      <c r="T61" s="156"/>
      <c r="U61" s="156"/>
      <c r="V61" s="162"/>
      <c r="W61" s="162"/>
      <c r="X61" s="162"/>
    </row>
    <row r="62" spans="1:24">
      <c r="A62" s="223">
        <f t="shared" si="0"/>
        <v>55</v>
      </c>
      <c r="B62" s="227" t="s">
        <v>329</v>
      </c>
      <c r="C62" s="178">
        <v>6</v>
      </c>
      <c r="D62" s="224" t="s">
        <v>204</v>
      </c>
      <c r="E62" s="180"/>
      <c r="F62" s="180"/>
      <c r="G62" s="180" t="s">
        <v>1185</v>
      </c>
      <c r="H62" s="180"/>
      <c r="I62" s="180"/>
      <c r="J62" s="180"/>
      <c r="K62" s="180"/>
      <c r="L62" s="180"/>
      <c r="M62" s="180"/>
      <c r="N62" s="180"/>
      <c r="O62" s="180"/>
      <c r="P62" s="180"/>
      <c r="Q62" s="180"/>
      <c r="R62" s="180"/>
      <c r="S62" s="156"/>
      <c r="T62" s="156"/>
      <c r="U62" s="156"/>
      <c r="V62" s="162"/>
      <c r="W62" s="162"/>
      <c r="X62" s="162"/>
    </row>
    <row r="63" spans="1:24" s="160" customFormat="1">
      <c r="A63" s="636">
        <f t="shared" si="0"/>
        <v>56</v>
      </c>
      <c r="B63" s="226" t="s">
        <v>247</v>
      </c>
      <c r="C63" s="180">
        <v>7</v>
      </c>
      <c r="D63" s="180" t="s">
        <v>204</v>
      </c>
      <c r="E63" s="180"/>
      <c r="F63" s="180"/>
      <c r="G63" s="180" t="s">
        <v>1185</v>
      </c>
      <c r="H63" s="180"/>
      <c r="I63" s="180"/>
      <c r="J63" s="180"/>
      <c r="K63" s="180"/>
      <c r="L63" s="180"/>
      <c r="M63" s="180"/>
      <c r="N63" s="180"/>
      <c r="O63" s="180"/>
      <c r="P63" s="180"/>
      <c r="Q63" s="180"/>
      <c r="R63" s="180"/>
      <c r="S63" s="156"/>
      <c r="T63" s="156"/>
      <c r="U63" s="156"/>
      <c r="V63" s="156"/>
      <c r="W63" s="156"/>
      <c r="X63" s="156"/>
    </row>
    <row r="64" spans="1:24">
      <c r="A64" s="223">
        <f t="shared" si="0"/>
        <v>57</v>
      </c>
      <c r="B64" s="226" t="s">
        <v>330</v>
      </c>
      <c r="C64" s="178">
        <v>13</v>
      </c>
      <c r="D64" s="224" t="s">
        <v>204</v>
      </c>
      <c r="E64" s="179" t="s">
        <v>206</v>
      </c>
      <c r="F64" s="180"/>
      <c r="G64" s="180"/>
      <c r="H64" s="180"/>
      <c r="I64" s="180"/>
      <c r="J64" s="180"/>
      <c r="K64" s="180"/>
      <c r="L64" s="180"/>
      <c r="M64" s="179" t="s">
        <v>206</v>
      </c>
      <c r="N64" s="179" t="s">
        <v>206</v>
      </c>
      <c r="O64" s="179" t="s">
        <v>206</v>
      </c>
      <c r="P64" s="180"/>
      <c r="Q64" s="180"/>
      <c r="R64" s="180"/>
      <c r="S64" s="156"/>
      <c r="T64" s="156"/>
      <c r="U64" s="156"/>
      <c r="V64" s="162"/>
      <c r="W64" s="162"/>
      <c r="X64" s="162"/>
    </row>
    <row r="65" spans="1:24" s="160" customFormat="1">
      <c r="A65" s="636">
        <f t="shared" si="0"/>
        <v>58</v>
      </c>
      <c r="B65" s="226" t="s">
        <v>248</v>
      </c>
      <c r="C65" s="180">
        <v>10</v>
      </c>
      <c r="D65" s="180" t="s">
        <v>204</v>
      </c>
      <c r="E65" s="180"/>
      <c r="F65" s="180"/>
      <c r="G65" s="180" t="s">
        <v>1185</v>
      </c>
      <c r="H65" s="180"/>
      <c r="I65" s="180"/>
      <c r="J65" s="180"/>
      <c r="K65" s="180"/>
      <c r="L65" s="180"/>
      <c r="M65" s="180"/>
      <c r="N65" s="180"/>
      <c r="O65" s="180"/>
      <c r="P65" s="180"/>
      <c r="Q65" s="180"/>
      <c r="R65" s="180"/>
      <c r="S65" s="156"/>
      <c r="T65" s="156"/>
      <c r="U65" s="156"/>
      <c r="V65" s="156"/>
      <c r="W65" s="156"/>
      <c r="X65" s="156"/>
    </row>
    <row r="66" spans="1:24">
      <c r="A66" s="223">
        <f t="shared" si="0"/>
        <v>59</v>
      </c>
      <c r="B66" s="226" t="s">
        <v>249</v>
      </c>
      <c r="C66" s="178">
        <v>4</v>
      </c>
      <c r="D66" s="224" t="s">
        <v>204</v>
      </c>
      <c r="E66" s="179" t="s">
        <v>206</v>
      </c>
      <c r="F66" s="180"/>
      <c r="G66" s="180"/>
      <c r="H66" s="179" t="s">
        <v>206</v>
      </c>
      <c r="I66" s="180"/>
      <c r="J66" s="180"/>
      <c r="K66" s="180"/>
      <c r="L66" s="179" t="s">
        <v>206</v>
      </c>
      <c r="M66" s="180"/>
      <c r="N66" s="179" t="s">
        <v>206</v>
      </c>
      <c r="O66" s="180"/>
      <c r="P66" s="180"/>
      <c r="Q66" s="180"/>
      <c r="R66" s="180"/>
      <c r="S66" s="156"/>
      <c r="T66" s="156"/>
      <c r="U66" s="156"/>
      <c r="V66" s="162"/>
      <c r="W66" s="162"/>
      <c r="X66" s="162"/>
    </row>
    <row r="67" spans="1:24">
      <c r="A67" s="223">
        <f t="shared" si="0"/>
        <v>60</v>
      </c>
      <c r="B67" s="226" t="s">
        <v>331</v>
      </c>
      <c r="C67" s="178" t="s">
        <v>961</v>
      </c>
      <c r="D67" s="224" t="s">
        <v>204</v>
      </c>
      <c r="E67" s="180"/>
      <c r="F67" s="180"/>
      <c r="G67" s="180"/>
      <c r="H67" s="179" t="s">
        <v>206</v>
      </c>
      <c r="I67" s="180"/>
      <c r="J67" s="180"/>
      <c r="K67" s="179" t="s">
        <v>206</v>
      </c>
      <c r="L67" s="180"/>
      <c r="M67" s="180"/>
      <c r="N67" s="180"/>
      <c r="O67" s="180"/>
      <c r="P67" s="180"/>
      <c r="Q67" s="180"/>
      <c r="R67" s="180"/>
      <c r="S67" s="156"/>
      <c r="T67" s="156"/>
      <c r="U67" s="156"/>
      <c r="V67" s="162"/>
      <c r="W67" s="162"/>
      <c r="X67" s="162"/>
    </row>
    <row r="68" spans="1:24">
      <c r="A68" s="223">
        <f t="shared" si="0"/>
        <v>61</v>
      </c>
      <c r="B68" s="226" t="s">
        <v>250</v>
      </c>
      <c r="C68" s="178">
        <v>6</v>
      </c>
      <c r="D68" s="224" t="s">
        <v>209</v>
      </c>
      <c r="E68" s="180"/>
      <c r="F68" s="180"/>
      <c r="G68" s="180"/>
      <c r="H68" s="180"/>
      <c r="I68" s="180"/>
      <c r="J68" s="180"/>
      <c r="K68" s="180"/>
      <c r="L68" s="180"/>
      <c r="M68" s="180"/>
      <c r="N68" s="180"/>
      <c r="O68" s="180"/>
      <c r="P68" s="180"/>
      <c r="Q68" s="180"/>
      <c r="R68" s="180"/>
      <c r="S68" s="156"/>
      <c r="T68" s="156"/>
      <c r="U68" s="156"/>
      <c r="V68" s="162"/>
      <c r="W68" s="162"/>
      <c r="X68" s="162"/>
    </row>
    <row r="69" spans="1:24">
      <c r="A69" s="223">
        <f t="shared" si="0"/>
        <v>62</v>
      </c>
      <c r="B69" s="226" t="s">
        <v>332</v>
      </c>
      <c r="C69" s="224">
        <v>13</v>
      </c>
      <c r="D69" s="224" t="s">
        <v>209</v>
      </c>
      <c r="E69" s="179" t="s">
        <v>206</v>
      </c>
      <c r="F69" s="179"/>
      <c r="G69" s="179" t="s">
        <v>206</v>
      </c>
      <c r="H69" s="180"/>
      <c r="I69" s="179" t="s">
        <v>206</v>
      </c>
      <c r="J69" s="179" t="s">
        <v>206</v>
      </c>
      <c r="K69" s="179"/>
      <c r="L69" s="179" t="s">
        <v>206</v>
      </c>
      <c r="M69" s="179" t="s">
        <v>206</v>
      </c>
      <c r="N69" s="179" t="s">
        <v>206</v>
      </c>
      <c r="O69" s="179" t="s">
        <v>206</v>
      </c>
      <c r="P69" s="179" t="s">
        <v>206</v>
      </c>
      <c r="Q69" s="180"/>
      <c r="R69" s="179" t="s">
        <v>206</v>
      </c>
      <c r="S69" s="156"/>
      <c r="T69" s="156"/>
      <c r="U69" s="156"/>
      <c r="V69" s="162"/>
      <c r="W69" s="162"/>
      <c r="X69" s="162"/>
    </row>
    <row r="70" spans="1:24">
      <c r="A70" s="223">
        <f t="shared" si="0"/>
        <v>63</v>
      </c>
      <c r="B70" s="226" t="s">
        <v>251</v>
      </c>
      <c r="C70" s="178">
        <v>13</v>
      </c>
      <c r="D70" s="224" t="s">
        <v>209</v>
      </c>
      <c r="E70" s="179" t="s">
        <v>206</v>
      </c>
      <c r="F70" s="179"/>
      <c r="G70" s="179" t="s">
        <v>206</v>
      </c>
      <c r="H70" s="180"/>
      <c r="I70" s="179" t="s">
        <v>206</v>
      </c>
      <c r="J70" s="179" t="s">
        <v>206</v>
      </c>
      <c r="K70" s="179"/>
      <c r="L70" s="179" t="s">
        <v>206</v>
      </c>
      <c r="M70" s="179" t="s">
        <v>206</v>
      </c>
      <c r="N70" s="179" t="s">
        <v>206</v>
      </c>
      <c r="O70" s="179" t="s">
        <v>206</v>
      </c>
      <c r="P70" s="179" t="s">
        <v>206</v>
      </c>
      <c r="Q70" s="180"/>
      <c r="R70" s="179" t="s">
        <v>206</v>
      </c>
      <c r="S70" s="156"/>
      <c r="T70" s="156"/>
      <c r="U70" s="156"/>
      <c r="V70" s="162"/>
      <c r="W70" s="162"/>
      <c r="X70" s="162"/>
    </row>
    <row r="71" spans="1:24">
      <c r="A71" s="223">
        <f t="shared" si="0"/>
        <v>64</v>
      </c>
      <c r="B71" s="226" t="s">
        <v>252</v>
      </c>
      <c r="C71" s="178">
        <v>13</v>
      </c>
      <c r="D71" s="224" t="s">
        <v>207</v>
      </c>
      <c r="E71" s="179" t="s">
        <v>206</v>
      </c>
      <c r="F71" s="179" t="s">
        <v>206</v>
      </c>
      <c r="G71" s="179" t="s">
        <v>206</v>
      </c>
      <c r="H71" s="179" t="s">
        <v>206</v>
      </c>
      <c r="I71" s="179" t="s">
        <v>206</v>
      </c>
      <c r="J71" s="179" t="s">
        <v>206</v>
      </c>
      <c r="K71" s="179" t="s">
        <v>206</v>
      </c>
      <c r="L71" s="179" t="s">
        <v>206</v>
      </c>
      <c r="M71" s="179" t="s">
        <v>206</v>
      </c>
      <c r="N71" s="179" t="s">
        <v>206</v>
      </c>
      <c r="O71" s="179" t="s">
        <v>206</v>
      </c>
      <c r="P71" s="179" t="s">
        <v>206</v>
      </c>
      <c r="Q71" s="179" t="s">
        <v>206</v>
      </c>
      <c r="R71" s="179" t="s">
        <v>206</v>
      </c>
      <c r="S71" s="156"/>
      <c r="T71" s="156"/>
      <c r="U71" s="156"/>
      <c r="V71" s="162"/>
      <c r="W71" s="162"/>
      <c r="X71" s="162"/>
    </row>
    <row r="72" spans="1:24">
      <c r="A72" s="178"/>
      <c r="B72" s="226"/>
      <c r="C72" s="178"/>
      <c r="D72" s="178"/>
      <c r="E72" s="180"/>
      <c r="F72" s="180"/>
      <c r="G72" s="180"/>
      <c r="H72" s="180"/>
      <c r="I72" s="180"/>
      <c r="J72" s="180"/>
      <c r="K72" s="180"/>
      <c r="L72" s="180"/>
      <c r="M72" s="180"/>
      <c r="N72" s="180"/>
      <c r="O72" s="180"/>
      <c r="P72" s="180"/>
      <c r="Q72" s="180"/>
      <c r="R72" s="180"/>
      <c r="S72" s="156"/>
      <c r="T72" s="156"/>
      <c r="U72" s="156"/>
      <c r="V72" s="162"/>
      <c r="W72" s="162"/>
      <c r="X72" s="162"/>
    </row>
    <row r="73" spans="1:24">
      <c r="A73" s="178"/>
      <c r="B73" s="228"/>
      <c r="C73" s="178"/>
      <c r="D73" s="178"/>
      <c r="E73" s="180"/>
      <c r="F73" s="180"/>
      <c r="G73" s="180"/>
      <c r="H73" s="180"/>
      <c r="I73" s="180"/>
      <c r="J73" s="180"/>
      <c r="K73" s="180"/>
      <c r="L73" s="180"/>
      <c r="M73" s="180"/>
      <c r="N73" s="180"/>
      <c r="O73" s="180"/>
      <c r="P73" s="180"/>
      <c r="Q73" s="180"/>
      <c r="R73" s="180"/>
      <c r="S73" s="156"/>
      <c r="T73" s="156"/>
      <c r="U73" s="156"/>
      <c r="V73" s="162"/>
      <c r="W73" s="162"/>
      <c r="X73" s="162"/>
    </row>
    <row r="74" spans="1:24">
      <c r="A74" s="178"/>
      <c r="B74" s="228"/>
      <c r="C74" s="178"/>
      <c r="D74" s="178"/>
      <c r="E74" s="180"/>
      <c r="F74" s="180"/>
      <c r="G74" s="180"/>
      <c r="H74" s="180"/>
      <c r="I74" s="180"/>
      <c r="J74" s="180"/>
      <c r="K74" s="180"/>
      <c r="L74" s="180"/>
      <c r="M74" s="180"/>
      <c r="N74" s="180"/>
      <c r="O74" s="180"/>
      <c r="P74" s="180"/>
      <c r="Q74" s="180"/>
      <c r="R74" s="180"/>
      <c r="S74" s="156"/>
      <c r="T74" s="156"/>
      <c r="U74" s="156"/>
      <c r="V74" s="162"/>
      <c r="W74" s="162"/>
      <c r="X74" s="162"/>
    </row>
    <row r="75" spans="1:24">
      <c r="A75" s="177"/>
      <c r="B75" s="228"/>
      <c r="C75" s="178"/>
      <c r="D75" s="178"/>
      <c r="E75" s="179"/>
      <c r="F75" s="180"/>
      <c r="G75" s="180"/>
      <c r="H75" s="180"/>
      <c r="I75" s="180"/>
      <c r="J75" s="180"/>
      <c r="K75" s="180"/>
      <c r="L75" s="180"/>
      <c r="M75" s="180"/>
      <c r="N75" s="180"/>
      <c r="O75" s="180"/>
      <c r="P75" s="180"/>
      <c r="Q75" s="180"/>
      <c r="R75" s="180"/>
      <c r="S75" s="156"/>
      <c r="T75" s="156"/>
      <c r="U75" s="156"/>
      <c r="V75" s="162"/>
      <c r="W75" s="162"/>
      <c r="X75" s="162"/>
    </row>
    <row r="76" spans="1:24">
      <c r="A76" s="178"/>
      <c r="B76" s="228"/>
      <c r="C76" s="178"/>
      <c r="D76" s="178"/>
      <c r="E76" s="180"/>
      <c r="F76" s="180"/>
      <c r="G76" s="180"/>
      <c r="H76" s="180"/>
      <c r="I76" s="180"/>
      <c r="J76" s="180"/>
      <c r="K76" s="180"/>
      <c r="L76" s="180"/>
      <c r="M76" s="180"/>
      <c r="N76" s="180"/>
      <c r="O76" s="180"/>
      <c r="P76" s="180"/>
      <c r="Q76" s="180"/>
      <c r="R76" s="180"/>
      <c r="S76" s="156"/>
      <c r="T76" s="156"/>
      <c r="U76" s="156"/>
      <c r="V76" s="162"/>
      <c r="W76" s="162"/>
      <c r="X76" s="162"/>
    </row>
    <row r="77" spans="1:24">
      <c r="A77" s="177"/>
      <c r="B77" s="228"/>
      <c r="C77" s="178"/>
      <c r="D77" s="178"/>
      <c r="E77" s="180"/>
      <c r="F77" s="180"/>
      <c r="G77" s="180"/>
      <c r="H77" s="180"/>
      <c r="I77" s="180"/>
      <c r="J77" s="180"/>
      <c r="K77" s="180"/>
      <c r="L77" s="180"/>
      <c r="M77" s="180"/>
      <c r="N77" s="180"/>
      <c r="O77" s="180"/>
      <c r="P77" s="180"/>
      <c r="Q77" s="180"/>
      <c r="R77" s="180"/>
      <c r="S77" s="156"/>
      <c r="T77" s="156"/>
      <c r="U77" s="156"/>
      <c r="V77" s="162"/>
      <c r="W77" s="162"/>
      <c r="X77" s="162"/>
    </row>
    <row r="78" spans="1:24">
      <c r="A78" s="178"/>
      <c r="B78" s="228"/>
      <c r="C78" s="178"/>
      <c r="D78" s="178"/>
      <c r="E78" s="179"/>
      <c r="F78" s="180"/>
      <c r="G78" s="180"/>
      <c r="H78" s="180"/>
      <c r="I78" s="180"/>
      <c r="J78" s="180"/>
      <c r="K78" s="180"/>
      <c r="L78" s="180"/>
      <c r="M78" s="180"/>
      <c r="N78" s="180"/>
      <c r="O78" s="180"/>
      <c r="P78" s="180"/>
      <c r="Q78" s="180"/>
      <c r="R78" s="180"/>
      <c r="S78" s="156"/>
      <c r="T78" s="156"/>
      <c r="U78" s="156"/>
      <c r="V78" s="162"/>
      <c r="W78" s="162"/>
      <c r="X78" s="162"/>
    </row>
    <row r="79" spans="1:24">
      <c r="A79" s="177"/>
      <c r="B79" s="228"/>
      <c r="C79" s="178"/>
      <c r="D79" s="178"/>
      <c r="E79" s="179"/>
      <c r="F79" s="180"/>
      <c r="G79" s="180"/>
      <c r="H79" s="180"/>
      <c r="I79" s="180"/>
      <c r="J79" s="180"/>
      <c r="K79" s="180"/>
      <c r="L79" s="180"/>
      <c r="M79" s="180"/>
      <c r="N79" s="180"/>
      <c r="O79" s="180"/>
      <c r="P79" s="180"/>
      <c r="Q79" s="180"/>
      <c r="R79" s="180"/>
      <c r="S79" s="156"/>
      <c r="T79" s="156"/>
      <c r="U79" s="156"/>
      <c r="V79" s="162"/>
      <c r="W79" s="162"/>
      <c r="X79" s="162"/>
    </row>
    <row r="80" spans="1:24">
      <c r="A80" s="178"/>
      <c r="B80" s="228"/>
      <c r="C80" s="178"/>
      <c r="D80" s="178"/>
      <c r="E80" s="179"/>
      <c r="F80" s="180"/>
      <c r="G80" s="180"/>
      <c r="H80" s="180"/>
      <c r="I80" s="180"/>
      <c r="J80" s="180"/>
      <c r="K80" s="180"/>
      <c r="L80" s="150"/>
      <c r="M80" s="180"/>
      <c r="N80" s="180"/>
      <c r="O80" s="180"/>
      <c r="P80" s="180"/>
      <c r="Q80" s="180"/>
      <c r="R80" s="180"/>
      <c r="S80" s="156"/>
      <c r="T80" s="156"/>
      <c r="U80" s="156"/>
      <c r="V80" s="162"/>
      <c r="W80" s="162"/>
      <c r="X80" s="162"/>
    </row>
    <row r="81" spans="1:24">
      <c r="A81" s="177"/>
      <c r="B81" s="228"/>
      <c r="C81" s="178"/>
      <c r="D81" s="178"/>
      <c r="E81" s="179"/>
      <c r="F81" s="180"/>
      <c r="G81" s="180"/>
      <c r="H81" s="180"/>
      <c r="I81" s="180"/>
      <c r="J81" s="180"/>
      <c r="K81" s="180"/>
      <c r="L81" s="180"/>
      <c r="M81" s="180"/>
      <c r="N81" s="180"/>
      <c r="O81" s="180"/>
      <c r="P81" s="180"/>
      <c r="Q81" s="180"/>
      <c r="R81" s="180"/>
      <c r="S81" s="156"/>
      <c r="T81" s="156"/>
      <c r="U81" s="156"/>
      <c r="V81" s="162"/>
      <c r="W81" s="162"/>
      <c r="X81" s="162"/>
    </row>
    <row r="82" spans="1:24">
      <c r="A82" s="178"/>
      <c r="B82" s="228"/>
      <c r="C82" s="178"/>
      <c r="D82" s="178"/>
      <c r="E82" s="180"/>
      <c r="F82" s="180"/>
      <c r="G82" s="180"/>
      <c r="H82" s="180"/>
      <c r="I82" s="180"/>
      <c r="J82" s="180"/>
      <c r="K82" s="180"/>
      <c r="L82" s="180"/>
      <c r="M82" s="180"/>
      <c r="N82" s="180"/>
      <c r="O82" s="180"/>
      <c r="P82" s="180"/>
      <c r="Q82" s="180"/>
      <c r="R82" s="180"/>
      <c r="S82" s="156"/>
      <c r="T82" s="156"/>
      <c r="U82" s="156"/>
      <c r="V82" s="162"/>
      <c r="W82" s="162"/>
      <c r="X82" s="162"/>
    </row>
    <row r="83" spans="1:24">
      <c r="A83" s="177"/>
      <c r="B83" s="228"/>
      <c r="C83" s="178"/>
      <c r="D83" s="178"/>
      <c r="E83" s="180"/>
      <c r="F83" s="180"/>
      <c r="G83" s="180"/>
      <c r="H83" s="180"/>
      <c r="I83" s="180"/>
      <c r="J83" s="180"/>
      <c r="K83" s="180"/>
      <c r="L83" s="180"/>
      <c r="M83" s="180"/>
      <c r="N83" s="180"/>
      <c r="O83" s="180"/>
      <c r="P83" s="180"/>
      <c r="Q83" s="180"/>
      <c r="R83" s="180"/>
      <c r="S83" s="156"/>
      <c r="T83" s="156"/>
      <c r="U83" s="156"/>
      <c r="V83" s="162"/>
      <c r="W83" s="162"/>
      <c r="X83" s="162"/>
    </row>
    <row r="84" spans="1:24">
      <c r="A84" s="178"/>
      <c r="B84" s="228"/>
      <c r="C84" s="178"/>
      <c r="D84" s="178"/>
      <c r="E84" s="180"/>
      <c r="F84" s="180"/>
      <c r="G84" s="180"/>
      <c r="H84" s="180"/>
      <c r="I84" s="180"/>
      <c r="J84" s="180"/>
      <c r="K84" s="180"/>
      <c r="L84" s="180"/>
      <c r="M84" s="180"/>
      <c r="N84" s="180"/>
      <c r="O84" s="180"/>
      <c r="P84" s="172"/>
      <c r="Q84" s="180"/>
      <c r="R84" s="180"/>
      <c r="S84" s="156"/>
      <c r="T84" s="156"/>
      <c r="U84" s="156"/>
      <c r="V84" s="162"/>
      <c r="W84" s="162"/>
      <c r="X84" s="162"/>
    </row>
    <row r="85" spans="1:24">
      <c r="A85" s="177"/>
      <c r="B85" s="228"/>
      <c r="C85" s="178"/>
      <c r="D85" s="178"/>
      <c r="E85" s="179"/>
      <c r="F85" s="180"/>
      <c r="G85" s="180"/>
      <c r="H85" s="180"/>
      <c r="I85" s="180"/>
      <c r="J85" s="180"/>
      <c r="K85" s="180"/>
      <c r="L85" s="180"/>
      <c r="M85" s="180"/>
      <c r="N85" s="180"/>
      <c r="O85" s="180"/>
      <c r="P85" s="180"/>
      <c r="Q85" s="180"/>
      <c r="R85" s="180"/>
      <c r="S85" s="156"/>
      <c r="T85" s="156"/>
      <c r="U85" s="156"/>
      <c r="V85" s="162"/>
      <c r="W85" s="162"/>
      <c r="X85" s="162"/>
    </row>
    <row r="86" spans="1:24">
      <c r="A86" s="178"/>
      <c r="B86" s="228"/>
      <c r="C86" s="178"/>
      <c r="D86" s="178"/>
      <c r="E86" s="179"/>
      <c r="F86" s="180"/>
      <c r="G86" s="180"/>
      <c r="H86" s="180"/>
      <c r="I86" s="180"/>
      <c r="J86" s="180"/>
      <c r="K86" s="180"/>
      <c r="L86" s="180"/>
      <c r="M86" s="180"/>
      <c r="N86" s="180"/>
      <c r="O86" s="180"/>
      <c r="P86" s="180"/>
      <c r="Q86" s="180"/>
      <c r="R86" s="150"/>
      <c r="S86" s="156"/>
      <c r="T86" s="156"/>
      <c r="U86" s="156"/>
      <c r="V86" s="162"/>
      <c r="W86" s="162"/>
      <c r="X86" s="162"/>
    </row>
    <row r="87" spans="1:24">
      <c r="A87" s="177"/>
      <c r="B87" s="228"/>
      <c r="C87" s="178"/>
      <c r="D87" s="178"/>
      <c r="E87" s="179"/>
      <c r="F87" s="180"/>
      <c r="G87" s="180"/>
      <c r="H87" s="180"/>
      <c r="I87" s="180"/>
      <c r="J87" s="180"/>
      <c r="K87" s="180"/>
      <c r="L87" s="180"/>
      <c r="M87" s="180"/>
      <c r="N87" s="180"/>
      <c r="O87" s="180"/>
      <c r="P87" s="180"/>
      <c r="Q87" s="180"/>
      <c r="R87" s="180"/>
      <c r="S87" s="156"/>
      <c r="T87" s="156"/>
      <c r="U87" s="156"/>
      <c r="V87" s="162"/>
      <c r="W87" s="162"/>
      <c r="X87" s="162"/>
    </row>
    <row r="88" spans="1:24">
      <c r="A88" s="178"/>
      <c r="B88" s="228"/>
      <c r="C88" s="178"/>
      <c r="D88" s="178"/>
      <c r="E88" s="179"/>
      <c r="F88" s="180"/>
      <c r="G88" s="180"/>
      <c r="H88" s="180"/>
      <c r="I88" s="180"/>
      <c r="J88" s="180"/>
      <c r="K88" s="180"/>
      <c r="L88" s="180"/>
      <c r="M88" s="180"/>
      <c r="N88" s="180"/>
      <c r="O88" s="180"/>
      <c r="P88" s="180"/>
      <c r="Q88" s="180"/>
      <c r="R88" s="180"/>
      <c r="S88" s="156"/>
      <c r="T88" s="156"/>
      <c r="U88" s="156"/>
      <c r="V88" s="162"/>
      <c r="W88" s="162"/>
      <c r="X88" s="162"/>
    </row>
    <row r="89" spans="1:24">
      <c r="A89" s="177"/>
      <c r="B89" s="228"/>
      <c r="C89" s="178"/>
      <c r="D89" s="178"/>
      <c r="E89" s="181"/>
      <c r="F89" s="180"/>
      <c r="G89" s="180"/>
      <c r="H89" s="180"/>
      <c r="I89" s="180"/>
      <c r="J89" s="180"/>
      <c r="K89" s="180"/>
      <c r="L89" s="180"/>
      <c r="M89" s="180"/>
      <c r="N89" s="180"/>
      <c r="O89" s="180"/>
      <c r="P89" s="180"/>
      <c r="Q89" s="180"/>
      <c r="R89" s="180"/>
      <c r="S89" s="156"/>
      <c r="T89" s="156"/>
      <c r="U89" s="156"/>
      <c r="V89" s="162"/>
      <c r="W89" s="162"/>
      <c r="X89" s="162"/>
    </row>
    <row r="90" spans="1:24">
      <c r="A90" s="178"/>
      <c r="B90" s="186"/>
      <c r="C90" s="178"/>
      <c r="D90" s="178"/>
      <c r="E90" s="182"/>
      <c r="F90" s="180"/>
      <c r="G90" s="180"/>
      <c r="H90" s="180"/>
      <c r="I90" s="180"/>
      <c r="J90" s="180"/>
      <c r="K90" s="180"/>
      <c r="L90" s="180"/>
      <c r="M90" s="180"/>
      <c r="N90" s="180"/>
      <c r="O90" s="180"/>
      <c r="P90" s="180"/>
      <c r="Q90" s="180"/>
      <c r="R90" s="180"/>
      <c r="S90" s="156"/>
      <c r="T90" s="156"/>
      <c r="U90" s="156"/>
      <c r="V90" s="162"/>
      <c r="W90" s="162"/>
      <c r="X90" s="162"/>
    </row>
    <row r="91" spans="1:24">
      <c r="A91" s="177"/>
      <c r="B91" s="186"/>
      <c r="C91" s="178"/>
      <c r="D91" s="178"/>
      <c r="E91" s="179"/>
      <c r="F91" s="180"/>
      <c r="G91" s="180"/>
      <c r="H91" s="180"/>
      <c r="I91" s="180"/>
      <c r="J91" s="180"/>
      <c r="K91" s="180"/>
      <c r="L91" s="180"/>
      <c r="M91" s="180"/>
      <c r="N91" s="180"/>
      <c r="O91" s="180"/>
      <c r="P91" s="180"/>
      <c r="Q91" s="180"/>
      <c r="R91" s="180"/>
      <c r="S91" s="156"/>
      <c r="T91" s="156"/>
      <c r="U91" s="156"/>
      <c r="V91" s="162"/>
      <c r="W91" s="162"/>
      <c r="X91" s="162"/>
    </row>
    <row r="92" spans="1:24">
      <c r="A92" s="180"/>
      <c r="B92" s="183"/>
      <c r="C92" s="180"/>
      <c r="D92" s="180"/>
      <c r="E92" s="180"/>
      <c r="F92" s="180"/>
      <c r="G92" s="180"/>
      <c r="H92" s="180"/>
      <c r="I92" s="180"/>
      <c r="J92" s="180"/>
      <c r="K92" s="180"/>
      <c r="L92" s="180"/>
      <c r="M92" s="180"/>
      <c r="N92" s="180"/>
      <c r="O92" s="180"/>
      <c r="P92" s="180"/>
      <c r="Q92" s="180"/>
      <c r="R92" s="180"/>
      <c r="S92" s="156"/>
      <c r="T92" s="156"/>
      <c r="U92" s="156"/>
      <c r="V92" s="162"/>
      <c r="W92" s="162"/>
      <c r="X92" s="162"/>
    </row>
    <row r="93" spans="1:24">
      <c r="A93" s="180"/>
      <c r="B93" s="183"/>
      <c r="C93" s="180"/>
      <c r="D93" s="180"/>
      <c r="E93" s="180"/>
      <c r="F93" s="180"/>
      <c r="G93" s="180"/>
      <c r="H93" s="180"/>
      <c r="I93" s="180"/>
      <c r="J93" s="180"/>
      <c r="K93" s="180"/>
      <c r="L93" s="180"/>
      <c r="M93" s="180"/>
      <c r="N93" s="180"/>
      <c r="O93" s="180"/>
      <c r="P93" s="180"/>
      <c r="Q93" s="180"/>
      <c r="R93" s="180"/>
      <c r="S93" s="156"/>
      <c r="T93" s="156"/>
      <c r="U93" s="156"/>
      <c r="V93" s="162"/>
      <c r="W93" s="162"/>
      <c r="X93" s="162"/>
    </row>
    <row r="94" spans="1:24">
      <c r="A94" s="180"/>
      <c r="B94" s="183"/>
      <c r="C94" s="180"/>
      <c r="D94" s="180"/>
      <c r="E94" s="180"/>
      <c r="F94" s="180"/>
      <c r="G94" s="180"/>
      <c r="H94" s="180"/>
      <c r="I94" s="180"/>
      <c r="J94" s="180"/>
      <c r="K94" s="180"/>
      <c r="L94" s="180"/>
      <c r="M94" s="180"/>
      <c r="N94" s="180"/>
      <c r="O94" s="180"/>
      <c r="P94" s="180"/>
      <c r="Q94" s="180"/>
      <c r="R94" s="180"/>
      <c r="S94" s="156"/>
      <c r="T94" s="156"/>
      <c r="U94" s="156"/>
      <c r="V94" s="162"/>
      <c r="W94" s="162"/>
      <c r="X94" s="162"/>
    </row>
    <row r="95" spans="1:24">
      <c r="A95" s="180"/>
      <c r="B95" s="183"/>
      <c r="C95" s="180"/>
      <c r="D95" s="180"/>
      <c r="E95" s="180"/>
      <c r="F95" s="180"/>
      <c r="G95" s="180"/>
      <c r="H95" s="180"/>
      <c r="I95" s="180"/>
      <c r="J95" s="180"/>
      <c r="K95" s="180"/>
      <c r="L95" s="180"/>
      <c r="M95" s="180"/>
      <c r="N95" s="180"/>
      <c r="O95" s="180"/>
      <c r="P95" s="180"/>
      <c r="Q95" s="180"/>
      <c r="R95" s="180"/>
      <c r="S95" s="156"/>
      <c r="T95" s="156"/>
      <c r="U95" s="156"/>
      <c r="V95" s="162"/>
      <c r="W95" s="162"/>
      <c r="X95" s="162"/>
    </row>
    <row r="96" spans="1:24">
      <c r="A96" s="180"/>
      <c r="B96" s="183"/>
      <c r="C96" s="180"/>
      <c r="D96" s="180"/>
      <c r="E96" s="180"/>
      <c r="F96" s="180"/>
      <c r="G96" s="180"/>
      <c r="H96" s="180"/>
      <c r="I96" s="180"/>
      <c r="J96" s="180"/>
      <c r="K96" s="180"/>
      <c r="L96" s="180"/>
      <c r="M96" s="180"/>
      <c r="N96" s="180"/>
      <c r="O96" s="180"/>
      <c r="P96" s="180"/>
      <c r="Q96" s="180"/>
      <c r="R96" s="180"/>
      <c r="S96" s="156"/>
      <c r="T96" s="156"/>
      <c r="U96" s="156"/>
      <c r="V96" s="162"/>
      <c r="W96" s="162"/>
      <c r="X96" s="162"/>
    </row>
    <row r="97" spans="1:24">
      <c r="A97" s="180"/>
      <c r="B97" s="183"/>
      <c r="C97" s="180"/>
      <c r="D97" s="180"/>
      <c r="E97" s="180"/>
      <c r="F97" s="180"/>
      <c r="G97" s="180"/>
      <c r="H97" s="180"/>
      <c r="I97" s="180"/>
      <c r="J97" s="180"/>
      <c r="K97" s="180"/>
      <c r="L97" s="180"/>
      <c r="M97" s="180"/>
      <c r="N97" s="180"/>
      <c r="O97" s="180"/>
      <c r="P97" s="180"/>
      <c r="Q97" s="180"/>
      <c r="R97" s="180"/>
      <c r="S97" s="156"/>
      <c r="T97" s="156"/>
      <c r="U97" s="156"/>
      <c r="V97" s="162"/>
      <c r="W97" s="162"/>
      <c r="X97" s="162"/>
    </row>
    <row r="98" spans="1:24">
      <c r="A98" s="180"/>
      <c r="B98" s="183"/>
      <c r="C98" s="180"/>
      <c r="D98" s="180"/>
      <c r="E98" s="180"/>
      <c r="F98" s="180"/>
      <c r="G98" s="180"/>
      <c r="H98" s="180"/>
      <c r="I98" s="180"/>
      <c r="J98" s="180"/>
      <c r="K98" s="180"/>
      <c r="L98" s="180"/>
      <c r="M98" s="180"/>
      <c r="N98" s="180"/>
      <c r="O98" s="180"/>
      <c r="P98" s="180"/>
      <c r="Q98" s="180"/>
      <c r="R98" s="180"/>
      <c r="S98" s="162"/>
      <c r="T98" s="162"/>
      <c r="U98" s="162"/>
      <c r="V98" s="162"/>
      <c r="W98" s="162"/>
      <c r="X98" s="162"/>
    </row>
    <row r="99" spans="1:24">
      <c r="A99" s="180"/>
      <c r="B99" s="183"/>
      <c r="C99" s="180"/>
      <c r="D99" s="180"/>
      <c r="E99" s="180"/>
      <c r="F99" s="180"/>
      <c r="G99" s="180"/>
      <c r="H99" s="180"/>
      <c r="I99" s="180"/>
      <c r="J99" s="180"/>
      <c r="K99" s="180"/>
      <c r="L99" s="180"/>
      <c r="M99" s="180"/>
      <c r="N99" s="180"/>
      <c r="O99" s="180"/>
      <c r="P99" s="180"/>
      <c r="Q99" s="180"/>
      <c r="R99" s="180"/>
      <c r="S99" s="162"/>
      <c r="T99" s="162"/>
      <c r="U99" s="162"/>
      <c r="V99" s="162"/>
      <c r="W99" s="162"/>
      <c r="X99" s="162"/>
    </row>
    <row r="100" spans="1:24">
      <c r="A100" s="149"/>
      <c r="C100" s="149"/>
      <c r="D100" s="149"/>
      <c r="E100" s="149"/>
      <c r="F100" s="149"/>
      <c r="G100" s="149"/>
      <c r="H100" s="149"/>
      <c r="I100" s="149"/>
      <c r="J100" s="149"/>
      <c r="K100" s="149"/>
      <c r="L100" s="149"/>
      <c r="M100" s="149"/>
      <c r="N100" s="149"/>
      <c r="O100" s="149"/>
      <c r="P100" s="149"/>
      <c r="Q100" s="149"/>
      <c r="R100" s="149"/>
      <c r="S100" s="162"/>
      <c r="T100" s="162"/>
      <c r="U100" s="162"/>
      <c r="V100" s="162"/>
      <c r="W100" s="162"/>
      <c r="X100" s="162"/>
    </row>
    <row r="101" spans="1:24">
      <c r="A101" s="149"/>
      <c r="B101" s="162"/>
      <c r="C101" s="149"/>
      <c r="D101" s="149"/>
      <c r="E101" s="149"/>
      <c r="F101" s="149"/>
      <c r="G101" s="149"/>
      <c r="H101" s="149"/>
      <c r="I101" s="149"/>
      <c r="J101" s="149"/>
      <c r="K101" s="149"/>
      <c r="L101" s="149"/>
      <c r="M101" s="149"/>
      <c r="N101" s="149"/>
      <c r="O101" s="149"/>
      <c r="P101" s="149"/>
      <c r="Q101" s="149"/>
      <c r="R101" s="149"/>
      <c r="S101" s="162"/>
      <c r="T101" s="162"/>
      <c r="U101" s="162"/>
      <c r="V101" s="162"/>
      <c r="W101" s="162"/>
      <c r="X101" s="162"/>
    </row>
    <row r="102" spans="1:24">
      <c r="A102" s="149"/>
      <c r="B102" s="162"/>
      <c r="C102" s="149"/>
      <c r="D102" s="149"/>
      <c r="E102" s="149"/>
      <c r="F102" s="149"/>
      <c r="G102" s="149"/>
      <c r="H102" s="149"/>
      <c r="I102" s="149"/>
      <c r="J102" s="149"/>
      <c r="K102" s="149"/>
      <c r="L102" s="149"/>
      <c r="M102" s="149"/>
      <c r="N102" s="149"/>
      <c r="O102" s="149"/>
      <c r="P102" s="149"/>
      <c r="Q102" s="149"/>
      <c r="R102" s="149"/>
      <c r="S102" s="162"/>
      <c r="T102" s="162"/>
      <c r="U102" s="162"/>
      <c r="V102" s="162"/>
      <c r="W102" s="162"/>
      <c r="X102" s="162"/>
    </row>
    <row r="103" spans="1:24">
      <c r="A103" s="149"/>
      <c r="B103" s="162"/>
      <c r="C103" s="149"/>
      <c r="D103" s="149"/>
      <c r="E103" s="149"/>
      <c r="F103" s="149"/>
      <c r="G103" s="149"/>
      <c r="H103" s="149"/>
      <c r="I103" s="149"/>
      <c r="J103" s="149"/>
      <c r="K103" s="149"/>
      <c r="L103" s="149"/>
      <c r="M103" s="149"/>
      <c r="N103" s="149"/>
      <c r="O103" s="149"/>
      <c r="P103" s="149"/>
      <c r="Q103" s="149"/>
      <c r="R103" s="149"/>
      <c r="S103" s="162"/>
      <c r="T103" s="162"/>
      <c r="U103" s="162"/>
      <c r="V103" s="162"/>
      <c r="W103" s="162"/>
      <c r="X103" s="162"/>
    </row>
    <row r="104" spans="1:24">
      <c r="A104" s="149"/>
      <c r="B104" s="162"/>
      <c r="C104" s="149"/>
      <c r="D104" s="149"/>
      <c r="E104" s="149"/>
      <c r="F104" s="149"/>
      <c r="G104" s="149"/>
      <c r="H104" s="149"/>
      <c r="I104" s="149"/>
      <c r="J104" s="149"/>
      <c r="K104" s="149"/>
      <c r="L104" s="149"/>
      <c r="M104" s="149"/>
      <c r="N104" s="149"/>
      <c r="O104" s="149"/>
      <c r="P104" s="149"/>
      <c r="Q104" s="149"/>
      <c r="R104" s="149"/>
      <c r="S104" s="162"/>
      <c r="T104" s="162"/>
      <c r="U104" s="162"/>
      <c r="V104" s="162"/>
      <c r="W104" s="162"/>
      <c r="X104" s="162"/>
    </row>
    <row r="105" spans="1:24">
      <c r="A105" s="162"/>
      <c r="B105" s="162"/>
      <c r="C105" s="149"/>
      <c r="D105" s="149"/>
      <c r="E105" s="162"/>
      <c r="F105" s="162"/>
      <c r="G105" s="162"/>
      <c r="H105" s="162"/>
      <c r="I105" s="162"/>
      <c r="J105" s="162"/>
      <c r="K105" s="162"/>
      <c r="L105" s="162"/>
      <c r="M105" s="162"/>
      <c r="N105" s="162"/>
      <c r="O105" s="162"/>
      <c r="P105" s="162"/>
      <c r="Q105" s="162"/>
      <c r="R105" s="162"/>
      <c r="S105" s="162"/>
      <c r="T105" s="162"/>
      <c r="U105" s="162"/>
      <c r="V105" s="162"/>
      <c r="W105" s="162"/>
      <c r="X105" s="162"/>
    </row>
  </sheetData>
  <phoneticPr fontId="11" type="noConversion"/>
  <dataValidations count="1">
    <dataValidation type="list" allowBlank="1" showInputMessage="1" showErrorMessage="1" sqref="D8:D71">
      <formula1>indexcategory</formula1>
    </dataValidation>
  </dataValidations>
  <pageMargins left="0.75" right="0.75" top="1" bottom="1" header="0.5" footer="0.5"/>
  <pageSetup paperSize="9" orientation="portrait" horizontalDpi="0" verticalDpi="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19"/>
  <sheetViews>
    <sheetView workbookViewId="0">
      <selection activeCell="B20" sqref="B20"/>
    </sheetView>
  </sheetViews>
  <sheetFormatPr defaultRowHeight="13.2"/>
  <cols>
    <col min="1" max="1" width="13.5546875" customWidth="1"/>
    <col min="2" max="2" width="94.6640625" customWidth="1"/>
  </cols>
  <sheetData>
    <row r="1" spans="1:2" ht="17.399999999999999">
      <c r="A1" s="236" t="s">
        <v>6</v>
      </c>
      <c r="B1" s="238"/>
    </row>
    <row r="2" spans="1:2" ht="13.8">
      <c r="A2" s="239"/>
      <c r="B2" s="233"/>
    </row>
    <row r="3" spans="1:2" ht="30">
      <c r="A3" s="235" t="s">
        <v>973</v>
      </c>
      <c r="B3" s="234"/>
    </row>
    <row r="4" spans="1:2" ht="13.8">
      <c r="A4" s="240"/>
      <c r="B4" s="234"/>
    </row>
    <row r="5" spans="1:2" ht="13.8">
      <c r="A5" s="241" t="s">
        <v>337</v>
      </c>
      <c r="B5" s="241" t="s">
        <v>105</v>
      </c>
    </row>
    <row r="6" spans="1:2" ht="27.6">
      <c r="A6" s="242" t="s">
        <v>338</v>
      </c>
      <c r="B6" s="243" t="s">
        <v>339</v>
      </c>
    </row>
    <row r="7" spans="1:2" ht="124.2">
      <c r="A7" s="244" t="s">
        <v>340</v>
      </c>
      <c r="B7" s="243" t="s">
        <v>1274</v>
      </c>
    </row>
    <row r="8" spans="1:2" ht="27.6">
      <c r="A8" s="237" t="s">
        <v>341</v>
      </c>
      <c r="B8" s="243" t="s">
        <v>975</v>
      </c>
    </row>
    <row r="9" spans="1:2" ht="27.6">
      <c r="A9" s="237" t="s">
        <v>342</v>
      </c>
      <c r="B9" s="245" t="s">
        <v>1200</v>
      </c>
    </row>
    <row r="10" spans="1:2" ht="69">
      <c r="A10" s="237" t="s">
        <v>343</v>
      </c>
      <c r="B10" s="245" t="s">
        <v>1233</v>
      </c>
    </row>
    <row r="11" spans="1:2" ht="55.2">
      <c r="A11" s="237" t="s">
        <v>344</v>
      </c>
      <c r="B11" s="245" t="s">
        <v>1241</v>
      </c>
    </row>
    <row r="12" spans="1:2" ht="165.6">
      <c r="A12" s="237" t="s">
        <v>345</v>
      </c>
      <c r="B12" s="245" t="s">
        <v>1209</v>
      </c>
    </row>
    <row r="13" spans="1:2" ht="55.2">
      <c r="A13" s="237" t="s">
        <v>346</v>
      </c>
      <c r="B13" s="245" t="s">
        <v>977</v>
      </c>
    </row>
    <row r="14" spans="1:2" ht="27.6">
      <c r="A14" s="237" t="s">
        <v>347</v>
      </c>
      <c r="B14" s="245" t="s">
        <v>1242</v>
      </c>
    </row>
    <row r="15" spans="1:2" ht="124.2">
      <c r="A15" s="237" t="s">
        <v>348</v>
      </c>
      <c r="B15" s="245" t="s">
        <v>1275</v>
      </c>
    </row>
    <row r="16" spans="1:2" ht="96.6">
      <c r="A16" s="237" t="s">
        <v>349</v>
      </c>
      <c r="B16" s="245" t="s">
        <v>1210</v>
      </c>
    </row>
    <row r="17" spans="1:2" ht="110.4">
      <c r="A17" s="237" t="s">
        <v>350</v>
      </c>
      <c r="B17" s="245" t="s">
        <v>1211</v>
      </c>
    </row>
    <row r="18" spans="1:2" ht="55.2">
      <c r="A18" s="237" t="s">
        <v>351</v>
      </c>
      <c r="B18" s="245" t="s">
        <v>1231</v>
      </c>
    </row>
    <row r="19" spans="1:2" ht="124.2">
      <c r="A19" s="237" t="s">
        <v>978</v>
      </c>
      <c r="B19" s="245" t="s">
        <v>1253</v>
      </c>
    </row>
  </sheetData>
  <phoneticPr fontId="104"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2:B39"/>
  <sheetViews>
    <sheetView topLeftCell="A16" workbookViewId="0">
      <selection activeCell="B39" sqref="B39"/>
    </sheetView>
  </sheetViews>
  <sheetFormatPr defaultRowHeight="13.2"/>
  <sheetData>
    <row r="2" spans="1:2">
      <c r="A2" s="250" t="s">
        <v>355</v>
      </c>
    </row>
    <row r="3" spans="1:2" ht="13.8">
      <c r="A3" s="144" t="s">
        <v>131</v>
      </c>
      <c r="B3" s="144" t="s">
        <v>132</v>
      </c>
    </row>
    <row r="4" spans="1:2" ht="13.8">
      <c r="A4" s="143" t="s">
        <v>139</v>
      </c>
      <c r="B4" s="143" t="s">
        <v>140</v>
      </c>
    </row>
    <row r="5" spans="1:2" ht="13.8">
      <c r="A5" s="143" t="s">
        <v>141</v>
      </c>
      <c r="B5" s="143" t="s">
        <v>142</v>
      </c>
    </row>
    <row r="6" spans="1:2" ht="13.8">
      <c r="A6" s="143" t="s">
        <v>143</v>
      </c>
      <c r="B6" s="142"/>
    </row>
    <row r="10" spans="1:2">
      <c r="A10" s="250" t="s">
        <v>356</v>
      </c>
    </row>
    <row r="11" spans="1:2" ht="13.8">
      <c r="A11" s="193" t="s">
        <v>178</v>
      </c>
      <c r="B11" s="193" t="s">
        <v>179</v>
      </c>
    </row>
    <row r="12" spans="1:2" ht="13.8">
      <c r="A12" s="194" t="s">
        <v>180</v>
      </c>
      <c r="B12" s="194" t="s">
        <v>181</v>
      </c>
    </row>
    <row r="13" spans="1:2" ht="13.8">
      <c r="A13" s="194" t="s">
        <v>182</v>
      </c>
      <c r="B13" s="194" t="s">
        <v>183</v>
      </c>
    </row>
    <row r="14" spans="1:2" ht="13.8">
      <c r="A14" s="194" t="s">
        <v>195</v>
      </c>
      <c r="B14" s="195"/>
    </row>
    <row r="15" spans="1:2" ht="13.8">
      <c r="A15" s="194" t="s">
        <v>198</v>
      </c>
      <c r="B15" s="195"/>
    </row>
    <row r="16" spans="1:2" ht="13.8">
      <c r="A16" s="194" t="s">
        <v>199</v>
      </c>
      <c r="B16" s="195"/>
    </row>
    <row r="20" spans="1:2">
      <c r="A20" s="250" t="s">
        <v>357</v>
      </c>
    </row>
    <row r="21" spans="1:2" ht="13.8">
      <c r="A21" s="166" t="s">
        <v>201</v>
      </c>
    </row>
    <row r="22" spans="1:2" ht="13.8">
      <c r="A22" s="184" t="s">
        <v>203</v>
      </c>
    </row>
    <row r="23" spans="1:2" ht="13.8">
      <c r="A23" s="184" t="s">
        <v>204</v>
      </c>
    </row>
    <row r="24" spans="1:2" ht="13.8">
      <c r="A24" s="185" t="s">
        <v>207</v>
      </c>
    </row>
    <row r="25" spans="1:2" ht="13.8">
      <c r="A25" s="185" t="s">
        <v>209</v>
      </c>
    </row>
    <row r="28" spans="1:2">
      <c r="A28" s="250" t="s">
        <v>358</v>
      </c>
    </row>
    <row r="29" spans="1:2" ht="13.8">
      <c r="A29" s="210" t="s">
        <v>283</v>
      </c>
      <c r="B29" s="210" t="s">
        <v>284</v>
      </c>
    </row>
    <row r="30" spans="1:2" ht="13.8">
      <c r="A30" s="212" t="s">
        <v>1</v>
      </c>
      <c r="B30" s="211" t="s">
        <v>106</v>
      </c>
    </row>
    <row r="31" spans="1:2" ht="13.8">
      <c r="A31" s="212" t="s">
        <v>2</v>
      </c>
      <c r="B31" s="211" t="s">
        <v>286</v>
      </c>
    </row>
    <row r="32" spans="1:2" ht="13.8">
      <c r="A32" s="212" t="s">
        <v>0</v>
      </c>
      <c r="B32" s="211" t="s">
        <v>287</v>
      </c>
    </row>
    <row r="33" spans="1:2" ht="13.8">
      <c r="A33" s="212" t="s">
        <v>288</v>
      </c>
      <c r="B33" s="211" t="s">
        <v>289</v>
      </c>
    </row>
    <row r="34" spans="1:2" ht="13.8">
      <c r="A34" s="212" t="s">
        <v>290</v>
      </c>
      <c r="B34" s="211" t="s">
        <v>291</v>
      </c>
    </row>
    <row r="35" spans="1:2" ht="13.8">
      <c r="A35" s="212" t="s">
        <v>292</v>
      </c>
      <c r="B35" s="211" t="s">
        <v>293</v>
      </c>
    </row>
    <row r="36" spans="1:2" ht="13.8">
      <c r="A36" s="212" t="s">
        <v>294</v>
      </c>
      <c r="B36" s="211" t="s">
        <v>295</v>
      </c>
    </row>
    <row r="37" spans="1:2" ht="13.8">
      <c r="A37" s="212" t="s">
        <v>296</v>
      </c>
      <c r="B37" s="211" t="s">
        <v>297</v>
      </c>
    </row>
    <row r="38" spans="1:2" ht="13.8">
      <c r="A38" s="632" t="s">
        <v>1170</v>
      </c>
      <c r="B38" s="631" t="s">
        <v>1169</v>
      </c>
    </row>
    <row r="39" spans="1:2" ht="13.8">
      <c r="A39" s="632" t="s">
        <v>1174</v>
      </c>
      <c r="B39" s="631" t="s">
        <v>1175</v>
      </c>
    </row>
  </sheetData>
  <phoneticPr fontId="10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59"/>
  <sheetViews>
    <sheetView topLeftCell="A7" workbookViewId="0">
      <selection activeCell="E30" sqref="E30"/>
    </sheetView>
  </sheetViews>
  <sheetFormatPr defaultColWidth="9.109375" defaultRowHeight="13.8"/>
  <cols>
    <col min="1" max="1" width="13.6640625" style="467" customWidth="1"/>
    <col min="2" max="2" width="21.88671875" style="5" customWidth="1"/>
    <col min="3" max="3" width="12.33203125" style="5" customWidth="1"/>
    <col min="4" max="4" width="14.44140625" style="5" customWidth="1"/>
    <col min="5" max="5" width="16.5546875" style="151" bestFit="1" customWidth="1"/>
    <col min="6" max="6" width="43.88671875" style="5" customWidth="1"/>
    <col min="7" max="17" width="9.109375" style="5"/>
    <col min="18" max="18" width="13" style="5" customWidth="1"/>
    <col min="19" max="19" width="11.5546875" style="5" customWidth="1"/>
    <col min="20" max="16384" width="9.109375" style="5"/>
  </cols>
  <sheetData>
    <row r="1" spans="1:19" ht="17.399999999999999">
      <c r="A1" s="628" t="s">
        <v>6</v>
      </c>
      <c r="B1" s="2"/>
      <c r="C1" s="3"/>
      <c r="E1" s="84"/>
      <c r="F1" s="84"/>
      <c r="G1" s="84"/>
      <c r="H1" s="84"/>
      <c r="K1" s="111"/>
      <c r="L1" s="111"/>
      <c r="M1" s="111"/>
      <c r="N1" s="3"/>
      <c r="O1" s="3"/>
      <c r="P1" s="3"/>
      <c r="Q1" s="3"/>
    </row>
    <row r="2" spans="1:19">
      <c r="A2" s="85"/>
      <c r="B2" s="102"/>
      <c r="C2" s="102"/>
      <c r="D2" s="102"/>
      <c r="E2" s="63"/>
      <c r="F2" s="3"/>
      <c r="G2" s="3"/>
      <c r="H2" s="3"/>
      <c r="I2" s="3"/>
      <c r="J2" s="3"/>
      <c r="K2" s="3"/>
      <c r="L2" s="3"/>
      <c r="M2" s="3"/>
      <c r="N2" s="3"/>
      <c r="O2" s="3"/>
      <c r="P2" s="3"/>
      <c r="Q2" s="3"/>
    </row>
    <row r="3" spans="1:19" ht="30">
      <c r="A3" s="629" t="s">
        <v>100</v>
      </c>
      <c r="B3" s="202"/>
      <c r="C3" s="202"/>
      <c r="D3" s="202"/>
      <c r="E3" s="200"/>
      <c r="F3" s="199"/>
      <c r="G3" s="199"/>
      <c r="H3" s="199"/>
      <c r="I3" s="199"/>
      <c r="J3" s="199"/>
      <c r="K3" s="199"/>
      <c r="L3" s="199"/>
      <c r="M3" s="199"/>
      <c r="N3" s="199"/>
      <c r="O3" s="199"/>
      <c r="P3" s="199"/>
      <c r="Q3" s="199"/>
    </row>
    <row r="4" spans="1:19">
      <c r="A4" s="207"/>
      <c r="B4" s="201"/>
      <c r="C4" s="201"/>
      <c r="D4" s="201"/>
      <c r="E4" s="200"/>
      <c r="F4" s="199"/>
      <c r="G4" s="199"/>
      <c r="H4" s="199"/>
      <c r="I4" s="199"/>
      <c r="J4" s="199"/>
      <c r="K4" s="199"/>
      <c r="L4" s="199"/>
      <c r="M4" s="199"/>
      <c r="N4" s="199"/>
      <c r="O4" s="199"/>
      <c r="P4" s="199"/>
      <c r="Q4" s="199"/>
    </row>
    <row r="5" spans="1:19">
      <c r="A5" s="623" t="s">
        <v>101</v>
      </c>
      <c r="B5" s="206" t="s">
        <v>102</v>
      </c>
      <c r="C5" s="206" t="s">
        <v>103</v>
      </c>
      <c r="D5" s="206" t="s">
        <v>285</v>
      </c>
      <c r="E5" s="206" t="s">
        <v>104</v>
      </c>
      <c r="F5" s="206" t="s">
        <v>97</v>
      </c>
      <c r="G5" s="205"/>
      <c r="H5" s="198"/>
      <c r="I5" s="198"/>
      <c r="J5" s="198"/>
      <c r="K5" s="198"/>
      <c r="L5" s="198"/>
      <c r="M5" s="198"/>
      <c r="N5" s="198"/>
      <c r="O5" s="198"/>
      <c r="P5" s="198"/>
      <c r="Q5" s="198"/>
    </row>
    <row r="6" spans="1:19">
      <c r="A6" s="718" t="s">
        <v>1132</v>
      </c>
      <c r="B6" s="718"/>
      <c r="C6" s="718"/>
      <c r="D6" s="718"/>
      <c r="E6" s="718"/>
      <c r="F6" s="718"/>
      <c r="G6" s="203"/>
      <c r="H6" s="198"/>
      <c r="I6" s="198"/>
      <c r="J6" s="198"/>
      <c r="K6" s="198"/>
      <c r="L6" s="198"/>
      <c r="M6" s="198"/>
      <c r="N6" s="198"/>
      <c r="O6" s="198"/>
      <c r="P6" s="198"/>
      <c r="Q6" s="198"/>
    </row>
    <row r="7" spans="1:19">
      <c r="A7" s="624" t="s">
        <v>980</v>
      </c>
      <c r="B7" s="204" t="s">
        <v>981</v>
      </c>
      <c r="C7" s="627" t="s">
        <v>1089</v>
      </c>
      <c r="D7" s="204" t="s">
        <v>106</v>
      </c>
      <c r="E7" s="469" t="s">
        <v>650</v>
      </c>
      <c r="F7" s="203"/>
      <c r="G7" s="203"/>
      <c r="H7" s="198"/>
      <c r="I7" s="198"/>
      <c r="J7" s="198"/>
      <c r="K7" s="198"/>
      <c r="L7" s="198"/>
      <c r="M7" s="198"/>
      <c r="N7" s="198"/>
      <c r="O7" s="198"/>
      <c r="P7" s="198"/>
      <c r="Q7" s="198"/>
    </row>
    <row r="8" spans="1:19">
      <c r="A8" s="624">
        <v>1001</v>
      </c>
      <c r="B8" s="204" t="s">
        <v>982</v>
      </c>
      <c r="C8" s="209" t="s">
        <v>1087</v>
      </c>
      <c r="D8" s="204" t="s">
        <v>287</v>
      </c>
      <c r="E8" s="469" t="s">
        <v>650</v>
      </c>
      <c r="F8" s="203"/>
      <c r="G8" s="203"/>
      <c r="H8" s="198"/>
      <c r="I8" s="198"/>
      <c r="J8" s="198"/>
      <c r="K8" s="198"/>
      <c r="L8" s="198"/>
      <c r="M8" s="198"/>
      <c r="N8" s="198"/>
      <c r="O8" s="198"/>
      <c r="P8" s="198"/>
      <c r="Q8" s="198"/>
    </row>
    <row r="9" spans="1:19">
      <c r="A9" s="624">
        <v>2300</v>
      </c>
      <c r="B9" s="204" t="s">
        <v>983</v>
      </c>
      <c r="C9" s="209" t="s">
        <v>1</v>
      </c>
      <c r="D9" s="204" t="s">
        <v>106</v>
      </c>
      <c r="E9" s="469" t="s">
        <v>650</v>
      </c>
      <c r="F9" s="203"/>
      <c r="G9" s="203"/>
      <c r="H9" s="198"/>
      <c r="I9" s="198"/>
      <c r="J9" s="198"/>
      <c r="K9" s="198"/>
      <c r="L9" s="198"/>
      <c r="M9" s="198"/>
      <c r="N9" s="198"/>
      <c r="O9" s="198"/>
      <c r="P9" s="198"/>
      <c r="Q9" s="198"/>
    </row>
    <row r="10" spans="1:19">
      <c r="A10" s="624" t="s">
        <v>984</v>
      </c>
      <c r="B10" s="203" t="s">
        <v>656</v>
      </c>
      <c r="C10" s="627" t="s">
        <v>1088</v>
      </c>
      <c r="D10" s="204" t="s">
        <v>106</v>
      </c>
      <c r="E10" s="469" t="s">
        <v>1092</v>
      </c>
      <c r="F10" s="203"/>
    </row>
    <row r="11" spans="1:19">
      <c r="A11" s="624">
        <v>3501</v>
      </c>
      <c r="B11" s="5" t="s">
        <v>655</v>
      </c>
      <c r="C11" s="627" t="s">
        <v>654</v>
      </c>
      <c r="D11" s="204" t="s">
        <v>106</v>
      </c>
      <c r="E11" s="469" t="s">
        <v>1092</v>
      </c>
      <c r="G11" s="203"/>
      <c r="H11" s="198"/>
      <c r="I11" s="198"/>
      <c r="J11" s="198"/>
      <c r="K11" s="198"/>
      <c r="L11" s="198"/>
      <c r="M11" s="198"/>
      <c r="N11" s="198"/>
      <c r="O11" s="198"/>
      <c r="P11" s="198"/>
      <c r="Q11" s="198"/>
    </row>
    <row r="12" spans="1:19">
      <c r="A12" s="625" t="s">
        <v>985</v>
      </c>
      <c r="B12" s="198" t="s">
        <v>986</v>
      </c>
      <c r="C12" s="627" t="s">
        <v>654</v>
      </c>
      <c r="D12" s="204" t="s">
        <v>287</v>
      </c>
      <c r="E12" s="469" t="s">
        <v>650</v>
      </c>
      <c r="F12" s="203"/>
      <c r="G12" s="203"/>
      <c r="H12" s="198"/>
      <c r="I12" s="198"/>
      <c r="J12" s="198"/>
      <c r="K12" s="198"/>
      <c r="L12" s="198"/>
      <c r="M12" s="198"/>
      <c r="N12" s="198"/>
      <c r="O12" s="198"/>
      <c r="P12" s="198"/>
      <c r="Q12" s="198"/>
    </row>
    <row r="13" spans="1:19">
      <c r="A13" s="624" t="s">
        <v>987</v>
      </c>
      <c r="B13" s="203" t="s">
        <v>988</v>
      </c>
      <c r="C13" s="209" t="s">
        <v>1087</v>
      </c>
      <c r="D13" s="204" t="s">
        <v>106</v>
      </c>
      <c r="E13" s="469" t="s">
        <v>650</v>
      </c>
      <c r="F13" s="203"/>
      <c r="G13" s="198"/>
      <c r="H13" s="198"/>
      <c r="I13" s="198"/>
      <c r="J13" s="198"/>
      <c r="K13" s="198"/>
      <c r="L13" s="198"/>
      <c r="M13" s="198"/>
      <c r="N13" s="198"/>
      <c r="O13" s="198"/>
      <c r="P13" s="198"/>
      <c r="Q13" s="198"/>
      <c r="R13" s="209"/>
      <c r="S13" s="208"/>
    </row>
    <row r="14" spans="1:19">
      <c r="A14" s="626" t="s">
        <v>989</v>
      </c>
      <c r="B14" s="5" t="s">
        <v>990</v>
      </c>
      <c r="C14" s="209" t="s">
        <v>1087</v>
      </c>
      <c r="D14" s="204" t="s">
        <v>106</v>
      </c>
      <c r="E14" s="469" t="s">
        <v>650</v>
      </c>
      <c r="F14" s="198"/>
      <c r="G14" s="198"/>
      <c r="H14" s="198"/>
      <c r="I14" s="198"/>
      <c r="J14" s="198"/>
      <c r="K14" s="198"/>
      <c r="L14" s="198"/>
      <c r="M14" s="198"/>
      <c r="N14" s="198"/>
      <c r="O14" s="198"/>
      <c r="P14" s="198"/>
      <c r="Q14" s="198"/>
      <c r="R14" s="198"/>
      <c r="S14" s="198"/>
    </row>
    <row r="15" spans="1:19">
      <c r="A15" s="624" t="s">
        <v>991</v>
      </c>
      <c r="B15" s="203" t="s">
        <v>675</v>
      </c>
      <c r="C15" s="627" t="s">
        <v>1090</v>
      </c>
      <c r="D15" s="204" t="s">
        <v>106</v>
      </c>
      <c r="E15" s="469" t="s">
        <v>682</v>
      </c>
      <c r="F15" s="198"/>
    </row>
    <row r="16" spans="1:19">
      <c r="A16" s="624" t="s">
        <v>992</v>
      </c>
      <c r="B16" s="5" t="s">
        <v>993</v>
      </c>
      <c r="C16" s="627" t="s">
        <v>653</v>
      </c>
      <c r="D16" s="204" t="s">
        <v>106</v>
      </c>
      <c r="E16" s="469" t="s">
        <v>650</v>
      </c>
    </row>
    <row r="17" spans="1:5">
      <c r="A17" s="625" t="s">
        <v>994</v>
      </c>
      <c r="B17" s="198" t="s">
        <v>995</v>
      </c>
      <c r="C17" s="209" t="s">
        <v>653</v>
      </c>
      <c r="D17" s="204" t="s">
        <v>106</v>
      </c>
      <c r="E17" s="469" t="s">
        <v>650</v>
      </c>
    </row>
    <row r="18" spans="1:5">
      <c r="A18" s="624" t="s">
        <v>996</v>
      </c>
      <c r="B18" s="5" t="s">
        <v>997</v>
      </c>
      <c r="C18" s="627" t="s">
        <v>654</v>
      </c>
      <c r="D18" s="204" t="s">
        <v>287</v>
      </c>
      <c r="E18" s="469" t="s">
        <v>650</v>
      </c>
    </row>
    <row r="19" spans="1:5">
      <c r="A19" s="624" t="s">
        <v>998</v>
      </c>
      <c r="B19" s="5" t="s">
        <v>999</v>
      </c>
      <c r="C19" s="627" t="s">
        <v>1091</v>
      </c>
      <c r="D19" s="204" t="s">
        <v>286</v>
      </c>
      <c r="E19" s="469" t="s">
        <v>650</v>
      </c>
    </row>
    <row r="20" spans="1:5">
      <c r="A20" s="624" t="s">
        <v>1000</v>
      </c>
      <c r="B20" s="5" t="s">
        <v>1001</v>
      </c>
      <c r="C20" s="627" t="s">
        <v>1091</v>
      </c>
      <c r="D20" s="204" t="s">
        <v>297</v>
      </c>
      <c r="E20" s="469" t="s">
        <v>650</v>
      </c>
    </row>
    <row r="21" spans="1:5">
      <c r="A21" s="624">
        <v>3011</v>
      </c>
      <c r="B21" s="5" t="s">
        <v>1002</v>
      </c>
      <c r="C21" s="627" t="s">
        <v>681</v>
      </c>
      <c r="D21" s="204" t="s">
        <v>106</v>
      </c>
      <c r="E21" s="470" t="s">
        <v>1093</v>
      </c>
    </row>
    <row r="22" spans="1:5">
      <c r="A22" s="624">
        <v>3012</v>
      </c>
      <c r="B22" s="5" t="s">
        <v>671</v>
      </c>
      <c r="C22" s="627" t="s">
        <v>681</v>
      </c>
      <c r="D22" s="204" t="s">
        <v>106</v>
      </c>
      <c r="E22" s="470" t="s">
        <v>1093</v>
      </c>
    </row>
    <row r="23" spans="1:5">
      <c r="A23" s="624">
        <v>3015</v>
      </c>
      <c r="B23" s="5" t="s">
        <v>1003</v>
      </c>
      <c r="C23" s="627" t="s">
        <v>681</v>
      </c>
      <c r="D23" s="204" t="s">
        <v>106</v>
      </c>
      <c r="E23" s="470" t="s">
        <v>1093</v>
      </c>
    </row>
    <row r="24" spans="1:5">
      <c r="A24" s="624">
        <v>3016</v>
      </c>
      <c r="B24" s="5" t="s">
        <v>1004</v>
      </c>
      <c r="C24" s="627" t="s">
        <v>681</v>
      </c>
      <c r="D24" s="204" t="s">
        <v>106</v>
      </c>
      <c r="E24" s="470" t="s">
        <v>1093</v>
      </c>
    </row>
    <row r="25" spans="1:5">
      <c r="A25" s="624">
        <v>3113</v>
      </c>
      <c r="B25" s="5" t="s">
        <v>1005</v>
      </c>
      <c r="C25" s="627" t="s">
        <v>653</v>
      </c>
      <c r="D25" s="204" t="s">
        <v>106</v>
      </c>
      <c r="E25" s="470" t="s">
        <v>1094</v>
      </c>
    </row>
    <row r="26" spans="1:5">
      <c r="A26" s="624">
        <v>3081</v>
      </c>
      <c r="B26" s="5" t="s">
        <v>1006</v>
      </c>
      <c r="C26" s="627" t="s">
        <v>654</v>
      </c>
      <c r="D26" s="204" t="s">
        <v>106</v>
      </c>
      <c r="E26" s="469" t="s">
        <v>1092</v>
      </c>
    </row>
    <row r="27" spans="1:5">
      <c r="A27" s="624">
        <v>1102</v>
      </c>
      <c r="B27" s="5" t="s">
        <v>1007</v>
      </c>
      <c r="C27" s="627" t="s">
        <v>1099</v>
      </c>
      <c r="D27" s="204" t="s">
        <v>106</v>
      </c>
      <c r="E27" s="470" t="s">
        <v>1095</v>
      </c>
    </row>
    <row r="28" spans="1:5">
      <c r="A28" s="624">
        <v>1100</v>
      </c>
      <c r="B28" s="5" t="s">
        <v>1008</v>
      </c>
      <c r="C28" s="627" t="s">
        <v>1099</v>
      </c>
      <c r="D28" s="204" t="s">
        <v>106</v>
      </c>
      <c r="E28" s="470" t="s">
        <v>650</v>
      </c>
    </row>
    <row r="29" spans="1:5">
      <c r="A29" s="624" t="s">
        <v>1009</v>
      </c>
      <c r="B29" s="5" t="s">
        <v>1010</v>
      </c>
      <c r="C29" s="627" t="s">
        <v>654</v>
      </c>
      <c r="D29" s="204" t="s">
        <v>106</v>
      </c>
      <c r="E29" s="469" t="s">
        <v>1092</v>
      </c>
    </row>
    <row r="30" spans="1:5">
      <c r="A30" s="624" t="s">
        <v>1011</v>
      </c>
      <c r="B30" s="5" t="s">
        <v>672</v>
      </c>
      <c r="C30" s="627" t="s">
        <v>681</v>
      </c>
      <c r="D30" s="204" t="s">
        <v>106</v>
      </c>
      <c r="E30" s="151" t="s">
        <v>682</v>
      </c>
    </row>
    <row r="31" spans="1:5">
      <c r="A31" s="624">
        <v>3100</v>
      </c>
      <c r="B31" s="5" t="s">
        <v>1012</v>
      </c>
      <c r="C31" s="627" t="s">
        <v>654</v>
      </c>
      <c r="D31" s="204" t="s">
        <v>106</v>
      </c>
      <c r="E31" s="469" t="s">
        <v>1097</v>
      </c>
    </row>
    <row r="32" spans="1:5">
      <c r="A32" s="624">
        <v>5080</v>
      </c>
      <c r="B32" s="5" t="s">
        <v>1013</v>
      </c>
      <c r="C32" s="627" t="s">
        <v>681</v>
      </c>
      <c r="D32" s="204" t="s">
        <v>106</v>
      </c>
      <c r="E32" s="151" t="s">
        <v>1096</v>
      </c>
    </row>
    <row r="33" spans="1:5">
      <c r="A33" s="624">
        <v>9031</v>
      </c>
      <c r="B33" s="5" t="s">
        <v>1014</v>
      </c>
      <c r="C33" s="627" t="s">
        <v>681</v>
      </c>
      <c r="D33" s="204" t="s">
        <v>293</v>
      </c>
      <c r="E33" s="151" t="s">
        <v>1096</v>
      </c>
    </row>
    <row r="34" spans="1:5">
      <c r="A34" s="624">
        <v>9032</v>
      </c>
      <c r="B34" s="5" t="s">
        <v>1015</v>
      </c>
      <c r="C34" s="627" t="s">
        <v>1100</v>
      </c>
      <c r="D34" s="204" t="s">
        <v>106</v>
      </c>
      <c r="E34" s="151" t="s">
        <v>1096</v>
      </c>
    </row>
    <row r="35" spans="1:5">
      <c r="A35" s="624">
        <v>9033</v>
      </c>
      <c r="B35" s="5" t="s">
        <v>1016</v>
      </c>
      <c r="C35" s="627" t="s">
        <v>653</v>
      </c>
      <c r="D35" s="204" t="s">
        <v>106</v>
      </c>
      <c r="E35" s="151" t="s">
        <v>1096</v>
      </c>
    </row>
    <row r="36" spans="1:5">
      <c r="A36" s="624">
        <v>9034</v>
      </c>
      <c r="B36" s="5" t="s">
        <v>1017</v>
      </c>
      <c r="C36" s="627" t="s">
        <v>681</v>
      </c>
      <c r="D36" s="204" t="s">
        <v>293</v>
      </c>
      <c r="E36" s="151" t="s">
        <v>1096</v>
      </c>
    </row>
    <row r="37" spans="1:5">
      <c r="A37" s="624">
        <v>5090</v>
      </c>
      <c r="B37" s="5" t="s">
        <v>1018</v>
      </c>
      <c r="C37" s="627" t="s">
        <v>653</v>
      </c>
      <c r="D37" s="204" t="s">
        <v>106</v>
      </c>
      <c r="E37" s="151" t="s">
        <v>1096</v>
      </c>
    </row>
    <row r="38" spans="1:5">
      <c r="A38" s="624">
        <v>5091</v>
      </c>
      <c r="B38" s="5" t="s">
        <v>1019</v>
      </c>
      <c r="C38" s="627" t="s">
        <v>653</v>
      </c>
      <c r="D38" s="204" t="s">
        <v>106</v>
      </c>
      <c r="E38" s="151" t="s">
        <v>1096</v>
      </c>
    </row>
    <row r="39" spans="1:5">
      <c r="A39" s="624">
        <v>3200</v>
      </c>
      <c r="B39" s="5" t="s">
        <v>673</v>
      </c>
      <c r="C39" s="627" t="s">
        <v>681</v>
      </c>
      <c r="D39" s="204" t="s">
        <v>106</v>
      </c>
      <c r="E39" s="151" t="s">
        <v>682</v>
      </c>
    </row>
    <row r="40" spans="1:5">
      <c r="A40" s="624">
        <v>3210</v>
      </c>
      <c r="B40" s="5" t="s">
        <v>1020</v>
      </c>
      <c r="C40" s="627" t="s">
        <v>1101</v>
      </c>
      <c r="D40" s="204" t="s">
        <v>106</v>
      </c>
      <c r="E40" s="469" t="s">
        <v>1092</v>
      </c>
    </row>
    <row r="41" spans="1:5">
      <c r="A41" s="624">
        <v>3240</v>
      </c>
      <c r="B41" s="5" t="s">
        <v>657</v>
      </c>
      <c r="C41" s="627" t="s">
        <v>654</v>
      </c>
      <c r="D41" s="204" t="s">
        <v>106</v>
      </c>
      <c r="E41" s="469" t="s">
        <v>1097</v>
      </c>
    </row>
    <row r="42" spans="1:5">
      <c r="A42" s="624">
        <v>9100</v>
      </c>
      <c r="B42" s="5" t="s">
        <v>1021</v>
      </c>
      <c r="C42" s="627" t="s">
        <v>653</v>
      </c>
      <c r="D42" s="204" t="s">
        <v>287</v>
      </c>
      <c r="E42" s="151" t="s">
        <v>650</v>
      </c>
    </row>
    <row r="43" spans="1:5">
      <c r="A43" s="624">
        <v>9120</v>
      </c>
      <c r="B43" s="5" t="s">
        <v>1022</v>
      </c>
      <c r="C43" s="627" t="s">
        <v>653</v>
      </c>
      <c r="D43" s="204" t="s">
        <v>287</v>
      </c>
      <c r="E43" s="151" t="s">
        <v>650</v>
      </c>
    </row>
    <row r="44" spans="1:5">
      <c r="A44" s="626">
        <v>9130</v>
      </c>
      <c r="B44" s="5" t="s">
        <v>1023</v>
      </c>
      <c r="C44" s="627" t="s">
        <v>653</v>
      </c>
      <c r="D44" s="204" t="s">
        <v>287</v>
      </c>
      <c r="E44" s="151" t="s">
        <v>650</v>
      </c>
    </row>
    <row r="45" spans="1:5">
      <c r="A45" s="626">
        <v>9131</v>
      </c>
      <c r="B45" s="5" t="s">
        <v>1024</v>
      </c>
      <c r="C45" s="627" t="s">
        <v>653</v>
      </c>
      <c r="D45" s="204" t="s">
        <v>287</v>
      </c>
      <c r="E45" s="151" t="s">
        <v>1098</v>
      </c>
    </row>
    <row r="46" spans="1:5">
      <c r="A46" s="626">
        <v>9140</v>
      </c>
      <c r="B46" s="5" t="s">
        <v>1025</v>
      </c>
      <c r="C46" s="627" t="s">
        <v>653</v>
      </c>
      <c r="D46" s="204" t="s">
        <v>287</v>
      </c>
      <c r="E46" s="151" t="s">
        <v>1102</v>
      </c>
    </row>
    <row r="47" spans="1:5">
      <c r="A47" s="626">
        <v>9150</v>
      </c>
      <c r="B47" s="5" t="s">
        <v>1026</v>
      </c>
      <c r="C47" s="627" t="s">
        <v>653</v>
      </c>
      <c r="D47" s="204" t="s">
        <v>287</v>
      </c>
      <c r="E47" s="151" t="s">
        <v>1102</v>
      </c>
    </row>
    <row r="48" spans="1:5">
      <c r="A48" s="626">
        <v>2100</v>
      </c>
      <c r="B48" s="5" t="s">
        <v>1027</v>
      </c>
      <c r="C48" s="468" t="s">
        <v>1103</v>
      </c>
      <c r="D48" s="204" t="s">
        <v>106</v>
      </c>
      <c r="E48" s="151" t="s">
        <v>1104</v>
      </c>
    </row>
    <row r="49" spans="1:5">
      <c r="A49" s="626">
        <v>2020</v>
      </c>
      <c r="B49" s="5" t="s">
        <v>1028</v>
      </c>
      <c r="C49" s="204" t="s">
        <v>1087</v>
      </c>
      <c r="D49" s="204" t="s">
        <v>106</v>
      </c>
      <c r="E49" s="151" t="s">
        <v>1105</v>
      </c>
    </row>
    <row r="50" spans="1:5">
      <c r="A50" s="626">
        <v>2021</v>
      </c>
      <c r="B50" s="5" t="s">
        <v>1029</v>
      </c>
      <c r="C50" s="204" t="s">
        <v>1087</v>
      </c>
      <c r="D50" s="204" t="s">
        <v>106</v>
      </c>
      <c r="E50" s="151" t="s">
        <v>1105</v>
      </c>
    </row>
    <row r="51" spans="1:5">
      <c r="A51" s="626">
        <v>2025</v>
      </c>
      <c r="B51" s="5" t="s">
        <v>1030</v>
      </c>
      <c r="C51" s="204" t="s">
        <v>1087</v>
      </c>
      <c r="D51" s="204" t="s">
        <v>106</v>
      </c>
      <c r="E51" s="151" t="s">
        <v>1106</v>
      </c>
    </row>
    <row r="52" spans="1:5">
      <c r="A52" s="626">
        <v>2026</v>
      </c>
      <c r="B52" s="5" t="s">
        <v>1031</v>
      </c>
      <c r="C52" s="204" t="s">
        <v>1087</v>
      </c>
      <c r="D52" s="204" t="s">
        <v>106</v>
      </c>
      <c r="E52" s="151" t="s">
        <v>1105</v>
      </c>
    </row>
    <row r="53" spans="1:5">
      <c r="A53" s="626">
        <v>2035</v>
      </c>
      <c r="B53" s="5" t="s">
        <v>1032</v>
      </c>
      <c r="C53" s="204" t="s">
        <v>1087</v>
      </c>
      <c r="D53" s="204" t="s">
        <v>106</v>
      </c>
      <c r="E53" s="151" t="s">
        <v>1104</v>
      </c>
    </row>
    <row r="54" spans="1:5">
      <c r="A54" s="626">
        <v>2036</v>
      </c>
      <c r="B54" s="5" t="s">
        <v>1033</v>
      </c>
      <c r="C54" s="204" t="s">
        <v>1087</v>
      </c>
      <c r="D54" s="204" t="s">
        <v>106</v>
      </c>
      <c r="E54" s="151" t="s">
        <v>1104</v>
      </c>
    </row>
    <row r="55" spans="1:5">
      <c r="A55" s="626" t="s">
        <v>1034</v>
      </c>
      <c r="B55" s="5" t="s">
        <v>1035</v>
      </c>
      <c r="C55" s="204" t="s">
        <v>1087</v>
      </c>
      <c r="D55" s="204" t="s">
        <v>287</v>
      </c>
      <c r="E55" s="151" t="s">
        <v>1107</v>
      </c>
    </row>
    <row r="56" spans="1:5">
      <c r="A56" s="626" t="s">
        <v>1036</v>
      </c>
      <c r="B56" s="5" t="s">
        <v>1037</v>
      </c>
      <c r="C56" s="204" t="s">
        <v>1087</v>
      </c>
      <c r="D56" s="204" t="s">
        <v>287</v>
      </c>
      <c r="E56" s="151" t="s">
        <v>1107</v>
      </c>
    </row>
    <row r="57" spans="1:5">
      <c r="A57" s="626">
        <v>3220</v>
      </c>
      <c r="B57" s="5" t="s">
        <v>1038</v>
      </c>
      <c r="C57" s="468" t="s">
        <v>1090</v>
      </c>
      <c r="D57" s="204" t="s">
        <v>106</v>
      </c>
      <c r="E57" s="151" t="s">
        <v>1108</v>
      </c>
    </row>
    <row r="58" spans="1:5">
      <c r="A58" s="626">
        <v>3255</v>
      </c>
      <c r="B58" s="5" t="s">
        <v>1039</v>
      </c>
      <c r="C58" s="204" t="s">
        <v>1087</v>
      </c>
      <c r="D58" s="204" t="s">
        <v>106</v>
      </c>
      <c r="E58" s="151" t="s">
        <v>1108</v>
      </c>
    </row>
    <row r="59" spans="1:5">
      <c r="A59" s="626">
        <v>3230</v>
      </c>
      <c r="B59" s="5" t="s">
        <v>1040</v>
      </c>
      <c r="C59" s="468" t="s">
        <v>1087</v>
      </c>
      <c r="D59" s="204" t="s">
        <v>106</v>
      </c>
      <c r="E59" s="151" t="s">
        <v>1108</v>
      </c>
    </row>
    <row r="60" spans="1:5">
      <c r="A60" s="626">
        <v>3221</v>
      </c>
      <c r="B60" s="5" t="s">
        <v>1041</v>
      </c>
      <c r="C60" s="468" t="s">
        <v>1090</v>
      </c>
      <c r="D60" s="204" t="s">
        <v>106</v>
      </c>
      <c r="E60" s="151" t="s">
        <v>1108</v>
      </c>
    </row>
    <row r="61" spans="1:5">
      <c r="A61" s="626">
        <v>3231</v>
      </c>
      <c r="B61" s="5" t="s">
        <v>1042</v>
      </c>
      <c r="C61" s="468" t="s">
        <v>1109</v>
      </c>
      <c r="D61" s="204" t="s">
        <v>106</v>
      </c>
      <c r="E61" s="151" t="s">
        <v>1108</v>
      </c>
    </row>
    <row r="62" spans="1:5">
      <c r="A62" s="626">
        <v>3291</v>
      </c>
      <c r="B62" s="5" t="s">
        <v>1043</v>
      </c>
      <c r="C62" s="468" t="s">
        <v>1090</v>
      </c>
      <c r="D62" s="204" t="s">
        <v>106</v>
      </c>
      <c r="E62" s="151" t="s">
        <v>1110</v>
      </c>
    </row>
    <row r="63" spans="1:5">
      <c r="A63" s="626" t="s">
        <v>1112</v>
      </c>
      <c r="B63" s="5" t="s">
        <v>1044</v>
      </c>
      <c r="C63" s="468" t="s">
        <v>1111</v>
      </c>
      <c r="D63" s="204" t="s">
        <v>106</v>
      </c>
      <c r="E63" s="151" t="s">
        <v>1114</v>
      </c>
    </row>
    <row r="64" spans="1:5">
      <c r="A64" s="626">
        <v>5060</v>
      </c>
      <c r="B64" s="5" t="s">
        <v>1048</v>
      </c>
      <c r="C64" s="468" t="s">
        <v>1111</v>
      </c>
      <c r="D64" s="204" t="s">
        <v>286</v>
      </c>
      <c r="E64" s="151" t="s">
        <v>1114</v>
      </c>
    </row>
    <row r="65" spans="1:5">
      <c r="A65" s="626" t="s">
        <v>1113</v>
      </c>
      <c r="B65" s="5" t="s">
        <v>1045</v>
      </c>
      <c r="C65" s="468" t="s">
        <v>1111</v>
      </c>
      <c r="D65" s="204" t="s">
        <v>106</v>
      </c>
      <c r="E65" s="151" t="s">
        <v>1114</v>
      </c>
    </row>
    <row r="66" spans="1:5">
      <c r="A66" s="626">
        <v>2375</v>
      </c>
      <c r="B66" s="5" t="s">
        <v>1117</v>
      </c>
      <c r="C66" s="468" t="s">
        <v>1087</v>
      </c>
      <c r="D66" s="204" t="s">
        <v>106</v>
      </c>
      <c r="E66" s="151" t="s">
        <v>1115</v>
      </c>
    </row>
    <row r="67" spans="1:5">
      <c r="A67" s="626" t="s">
        <v>1116</v>
      </c>
      <c r="B67" s="5" t="s">
        <v>1118</v>
      </c>
      <c r="C67" s="468" t="s">
        <v>1087</v>
      </c>
      <c r="D67" s="204" t="s">
        <v>106</v>
      </c>
      <c r="E67" s="151" t="s">
        <v>1115</v>
      </c>
    </row>
    <row r="68" spans="1:5">
      <c r="A68" s="626">
        <v>3299</v>
      </c>
      <c r="B68" s="5" t="s">
        <v>674</v>
      </c>
      <c r="C68" s="468" t="s">
        <v>1090</v>
      </c>
      <c r="D68" s="204" t="s">
        <v>106</v>
      </c>
      <c r="E68" s="151" t="s">
        <v>1119</v>
      </c>
    </row>
    <row r="69" spans="1:5">
      <c r="A69" s="626">
        <v>3298</v>
      </c>
      <c r="B69" s="5" t="s">
        <v>1046</v>
      </c>
      <c r="C69" s="468" t="s">
        <v>1090</v>
      </c>
      <c r="D69" s="204" t="s">
        <v>106</v>
      </c>
      <c r="E69" s="151" t="s">
        <v>1121</v>
      </c>
    </row>
    <row r="70" spans="1:5">
      <c r="A70" s="626">
        <v>3297</v>
      </c>
      <c r="B70" s="5" t="s">
        <v>1047</v>
      </c>
      <c r="C70" s="468" t="s">
        <v>1090</v>
      </c>
      <c r="D70" s="204" t="s">
        <v>106</v>
      </c>
      <c r="E70" s="151" t="s">
        <v>1121</v>
      </c>
    </row>
    <row r="71" spans="1:5">
      <c r="A71" s="626">
        <v>3007</v>
      </c>
      <c r="B71" s="5" t="s">
        <v>1049</v>
      </c>
      <c r="C71" s="204" t="s">
        <v>1087</v>
      </c>
      <c r="D71" s="204" t="s">
        <v>287</v>
      </c>
      <c r="E71" s="151" t="s">
        <v>1115</v>
      </c>
    </row>
    <row r="72" spans="1:5">
      <c r="A72" s="626">
        <v>3009</v>
      </c>
      <c r="B72" s="5" t="s">
        <v>1050</v>
      </c>
      <c r="C72" s="204" t="s">
        <v>1087</v>
      </c>
      <c r="D72" s="204" t="s">
        <v>287</v>
      </c>
      <c r="E72" s="151" t="s">
        <v>1115</v>
      </c>
    </row>
    <row r="73" spans="1:5">
      <c r="A73" s="626">
        <v>3003</v>
      </c>
      <c r="B73" s="5" t="s">
        <v>1051</v>
      </c>
      <c r="C73" s="204" t="s">
        <v>1087</v>
      </c>
      <c r="D73" s="204" t="s">
        <v>287</v>
      </c>
      <c r="E73" s="151" t="s">
        <v>1115</v>
      </c>
    </row>
    <row r="74" spans="1:5">
      <c r="A74" s="626">
        <v>3008</v>
      </c>
      <c r="B74" s="5" t="s">
        <v>1052</v>
      </c>
      <c r="C74" s="204" t="s">
        <v>1087</v>
      </c>
      <c r="D74" s="204" t="s">
        <v>287</v>
      </c>
      <c r="E74" s="151" t="s">
        <v>1115</v>
      </c>
    </row>
    <row r="75" spans="1:5">
      <c r="A75" s="626">
        <v>3010</v>
      </c>
      <c r="B75" s="5" t="s">
        <v>1053</v>
      </c>
      <c r="C75" s="204" t="s">
        <v>1087</v>
      </c>
      <c r="D75" s="204" t="s">
        <v>287</v>
      </c>
      <c r="E75" s="151" t="s">
        <v>1115</v>
      </c>
    </row>
    <row r="76" spans="1:5">
      <c r="A76" s="626">
        <v>3002</v>
      </c>
      <c r="B76" s="5" t="s">
        <v>1054</v>
      </c>
      <c r="C76" s="204" t="s">
        <v>1087</v>
      </c>
      <c r="D76" s="204" t="s">
        <v>287</v>
      </c>
      <c r="E76" s="151" t="s">
        <v>1115</v>
      </c>
    </row>
    <row r="77" spans="1:5">
      <c r="A77" s="626">
        <v>3000</v>
      </c>
      <c r="B77" s="5" t="s">
        <v>1055</v>
      </c>
      <c r="C77" s="204" t="s">
        <v>1087</v>
      </c>
      <c r="D77" s="204" t="s">
        <v>287</v>
      </c>
      <c r="E77" s="151" t="s">
        <v>1115</v>
      </c>
    </row>
    <row r="78" spans="1:5">
      <c r="A78" s="626">
        <v>3001</v>
      </c>
      <c r="B78" s="5" t="s">
        <v>1056</v>
      </c>
      <c r="C78" s="204" t="s">
        <v>1087</v>
      </c>
      <c r="D78" s="204" t="s">
        <v>287</v>
      </c>
      <c r="E78" s="151" t="s">
        <v>1115</v>
      </c>
    </row>
    <row r="79" spans="1:5">
      <c r="A79" s="626">
        <v>3004</v>
      </c>
      <c r="B79" s="5" t="s">
        <v>1057</v>
      </c>
      <c r="C79" s="204" t="s">
        <v>1087</v>
      </c>
      <c r="D79" s="204" t="s">
        <v>287</v>
      </c>
      <c r="E79" s="151" t="s">
        <v>1123</v>
      </c>
    </row>
    <row r="80" spans="1:5">
      <c r="A80" s="626">
        <v>3005</v>
      </c>
      <c r="B80" s="5" t="s">
        <v>1058</v>
      </c>
      <c r="C80" s="204" t="s">
        <v>1087</v>
      </c>
      <c r="D80" s="204" t="s">
        <v>287</v>
      </c>
      <c r="E80" s="151" t="s">
        <v>1115</v>
      </c>
    </row>
    <row r="81" spans="1:5">
      <c r="A81" s="626">
        <v>3006</v>
      </c>
      <c r="B81" s="5" t="s">
        <v>1059</v>
      </c>
      <c r="C81" s="204" t="s">
        <v>1087</v>
      </c>
      <c r="D81" s="204" t="s">
        <v>287</v>
      </c>
      <c r="E81" s="151" t="s">
        <v>1115</v>
      </c>
    </row>
    <row r="82" spans="1:5">
      <c r="A82" s="626" t="s">
        <v>1060</v>
      </c>
      <c r="B82" s="5" t="s">
        <v>1061</v>
      </c>
      <c r="C82" s="204" t="s">
        <v>1087</v>
      </c>
      <c r="D82" s="204" t="s">
        <v>106</v>
      </c>
      <c r="E82" s="151" t="s">
        <v>1122</v>
      </c>
    </row>
    <row r="83" spans="1:5">
      <c r="A83" s="626" t="s">
        <v>1062</v>
      </c>
      <c r="B83" s="5" t="s">
        <v>1063</v>
      </c>
      <c r="C83" s="204" t="s">
        <v>1087</v>
      </c>
      <c r="D83" s="204" t="s">
        <v>106</v>
      </c>
      <c r="E83" s="151" t="s">
        <v>1122</v>
      </c>
    </row>
    <row r="84" spans="1:5">
      <c r="A84" s="626">
        <v>3601</v>
      </c>
      <c r="B84" s="5" t="s">
        <v>1064</v>
      </c>
      <c r="C84" s="468" t="s">
        <v>1124</v>
      </c>
      <c r="D84" s="204" t="s">
        <v>106</v>
      </c>
      <c r="E84" s="151" t="s">
        <v>1125</v>
      </c>
    </row>
    <row r="85" spans="1:5">
      <c r="A85" s="626">
        <v>3602</v>
      </c>
      <c r="B85" s="5" t="s">
        <v>1065</v>
      </c>
      <c r="C85" s="468" t="s">
        <v>1090</v>
      </c>
      <c r="D85" s="204" t="s">
        <v>106</v>
      </c>
      <c r="E85" s="151" t="s">
        <v>1126</v>
      </c>
    </row>
    <row r="86" spans="1:5">
      <c r="A86" s="626" t="s">
        <v>1066</v>
      </c>
      <c r="B86" s="5" t="s">
        <v>1067</v>
      </c>
      <c r="C86" s="468" t="s">
        <v>1090</v>
      </c>
      <c r="D86" s="204" t="s">
        <v>106</v>
      </c>
      <c r="E86" s="151" t="s">
        <v>1126</v>
      </c>
    </row>
    <row r="87" spans="1:5">
      <c r="A87" s="626" t="s">
        <v>1068</v>
      </c>
      <c r="B87" s="5" t="s">
        <v>1069</v>
      </c>
      <c r="C87" s="468" t="s">
        <v>1090</v>
      </c>
      <c r="D87" s="204" t="s">
        <v>106</v>
      </c>
      <c r="E87" s="151" t="s">
        <v>1126</v>
      </c>
    </row>
    <row r="88" spans="1:5">
      <c r="A88" s="626" t="s">
        <v>1070</v>
      </c>
      <c r="B88" s="5" t="s">
        <v>1071</v>
      </c>
      <c r="C88" s="468" t="s">
        <v>1090</v>
      </c>
      <c r="D88" s="204" t="s">
        <v>106</v>
      </c>
      <c r="E88" s="151" t="s">
        <v>1126</v>
      </c>
    </row>
    <row r="89" spans="1:5">
      <c r="A89" s="626" t="s">
        <v>1072</v>
      </c>
      <c r="B89" s="5" t="s">
        <v>1073</v>
      </c>
      <c r="C89" s="468" t="s">
        <v>1090</v>
      </c>
      <c r="D89" s="204" t="s">
        <v>106</v>
      </c>
      <c r="E89" s="151" t="s">
        <v>1126</v>
      </c>
    </row>
    <row r="90" spans="1:5">
      <c r="A90" s="626">
        <v>7090</v>
      </c>
      <c r="B90" s="5" t="s">
        <v>1074</v>
      </c>
      <c r="C90" s="468" t="s">
        <v>1090</v>
      </c>
      <c r="D90" s="204" t="s">
        <v>286</v>
      </c>
      <c r="E90" s="151" t="s">
        <v>1110</v>
      </c>
    </row>
    <row r="91" spans="1:5">
      <c r="A91" s="626" t="s">
        <v>1075</v>
      </c>
      <c r="B91" s="5" t="s">
        <v>676</v>
      </c>
      <c r="C91" s="468" t="s">
        <v>1090</v>
      </c>
      <c r="D91" s="204" t="s">
        <v>286</v>
      </c>
      <c r="E91" s="151" t="s">
        <v>1110</v>
      </c>
    </row>
    <row r="92" spans="1:5">
      <c r="A92" s="626">
        <v>7050</v>
      </c>
      <c r="B92" s="5" t="s">
        <v>677</v>
      </c>
      <c r="C92" s="468" t="s">
        <v>1090</v>
      </c>
      <c r="D92" s="204" t="s">
        <v>286</v>
      </c>
      <c r="E92" s="151" t="s">
        <v>1110</v>
      </c>
    </row>
    <row r="93" spans="1:5">
      <c r="A93" s="626">
        <v>7055</v>
      </c>
      <c r="B93" s="5" t="s">
        <v>678</v>
      </c>
      <c r="C93" s="468" t="s">
        <v>1090</v>
      </c>
      <c r="D93" s="204" t="s">
        <v>286</v>
      </c>
      <c r="E93" s="151" t="s">
        <v>1110</v>
      </c>
    </row>
    <row r="94" spans="1:5">
      <c r="A94" s="626">
        <v>8200</v>
      </c>
      <c r="B94" s="5" t="s">
        <v>1076</v>
      </c>
      <c r="C94" s="468" t="s">
        <v>1124</v>
      </c>
      <c r="D94" s="204" t="s">
        <v>286</v>
      </c>
      <c r="E94" s="151" t="s">
        <v>1127</v>
      </c>
    </row>
    <row r="95" spans="1:5">
      <c r="A95" s="626">
        <v>8205</v>
      </c>
      <c r="B95" s="5" t="s">
        <v>658</v>
      </c>
      <c r="C95" s="468" t="s">
        <v>1124</v>
      </c>
      <c r="D95" s="204" t="s">
        <v>286</v>
      </c>
      <c r="E95" s="151" t="s">
        <v>1127</v>
      </c>
    </row>
    <row r="96" spans="1:5">
      <c r="A96" s="626">
        <v>7060</v>
      </c>
      <c r="B96" s="5" t="s">
        <v>1130</v>
      </c>
      <c r="C96" s="204" t="s">
        <v>1087</v>
      </c>
      <c r="D96" s="204" t="s">
        <v>286</v>
      </c>
      <c r="E96" s="151" t="s">
        <v>1102</v>
      </c>
    </row>
    <row r="97" spans="1:6">
      <c r="A97" s="626">
        <v>7065</v>
      </c>
      <c r="B97" s="5" t="s">
        <v>651</v>
      </c>
      <c r="C97" s="468" t="s">
        <v>1124</v>
      </c>
      <c r="D97" s="204" t="s">
        <v>286</v>
      </c>
      <c r="E97" s="151" t="s">
        <v>1102</v>
      </c>
    </row>
    <row r="98" spans="1:6">
      <c r="A98" s="626">
        <v>7070</v>
      </c>
      <c r="B98" s="5" t="s">
        <v>652</v>
      </c>
      <c r="C98" s="468" t="s">
        <v>1124</v>
      </c>
      <c r="D98" s="204" t="s">
        <v>286</v>
      </c>
      <c r="E98" s="151" t="s">
        <v>1102</v>
      </c>
    </row>
    <row r="99" spans="1:6">
      <c r="A99" s="626">
        <v>7080</v>
      </c>
      <c r="B99" s="5" t="s">
        <v>679</v>
      </c>
      <c r="C99" s="468" t="s">
        <v>1090</v>
      </c>
      <c r="D99" s="204" t="s">
        <v>286</v>
      </c>
      <c r="E99" s="151" t="s">
        <v>1110</v>
      </c>
    </row>
    <row r="100" spans="1:6">
      <c r="A100" s="626">
        <v>7850</v>
      </c>
      <c r="B100" s="5" t="s">
        <v>680</v>
      </c>
      <c r="C100" s="468" t="s">
        <v>1090</v>
      </c>
      <c r="D100" s="204" t="s">
        <v>286</v>
      </c>
      <c r="E100" s="151" t="s">
        <v>1110</v>
      </c>
    </row>
    <row r="101" spans="1:6">
      <c r="A101" s="626" t="s">
        <v>1077</v>
      </c>
      <c r="B101" s="5" t="s">
        <v>1078</v>
      </c>
      <c r="C101" s="204" t="s">
        <v>1128</v>
      </c>
      <c r="D101" s="204" t="s">
        <v>295</v>
      </c>
      <c r="E101" s="151" t="s">
        <v>1102</v>
      </c>
    </row>
    <row r="102" spans="1:6">
      <c r="A102" s="626" t="s">
        <v>1079</v>
      </c>
      <c r="B102" s="5" t="s">
        <v>1080</v>
      </c>
      <c r="C102" s="204" t="s">
        <v>1128</v>
      </c>
      <c r="D102" s="204" t="s">
        <v>295</v>
      </c>
      <c r="E102" s="151" t="s">
        <v>1102</v>
      </c>
    </row>
    <row r="103" spans="1:6">
      <c r="A103" s="626" t="s">
        <v>1081</v>
      </c>
      <c r="B103" s="5" t="s">
        <v>1082</v>
      </c>
      <c r="C103" s="204" t="s">
        <v>1128</v>
      </c>
      <c r="D103" s="204" t="s">
        <v>295</v>
      </c>
      <c r="E103" s="151" t="s">
        <v>1102</v>
      </c>
    </row>
    <row r="104" spans="1:6">
      <c r="A104" s="626" t="s">
        <v>1083</v>
      </c>
      <c r="B104" s="5" t="s">
        <v>1084</v>
      </c>
      <c r="C104" s="204" t="s">
        <v>1128</v>
      </c>
      <c r="D104" s="204" t="s">
        <v>295</v>
      </c>
      <c r="E104" s="151" t="s">
        <v>1102</v>
      </c>
    </row>
    <row r="105" spans="1:6">
      <c r="A105" s="626" t="s">
        <v>1085</v>
      </c>
      <c r="B105" s="5" t="s">
        <v>1086</v>
      </c>
      <c r="C105" s="204" t="s">
        <v>1128</v>
      </c>
      <c r="D105" s="204" t="s">
        <v>295</v>
      </c>
      <c r="E105" s="151" t="s">
        <v>1129</v>
      </c>
    </row>
    <row r="106" spans="1:6">
      <c r="A106" s="718" t="s">
        <v>1133</v>
      </c>
      <c r="B106" s="718"/>
      <c r="C106" s="718"/>
      <c r="D106" s="718"/>
      <c r="E106" s="718"/>
      <c r="F106" s="718"/>
    </row>
    <row r="107" spans="1:6">
      <c r="A107" s="467">
        <v>2004</v>
      </c>
      <c r="B107" s="5" t="s">
        <v>1134</v>
      </c>
      <c r="C107" s="204" t="s">
        <v>1087</v>
      </c>
      <c r="D107" s="204" t="s">
        <v>106</v>
      </c>
      <c r="E107" s="151" t="s">
        <v>1104</v>
      </c>
    </row>
    <row r="108" spans="1:6">
      <c r="A108" s="467">
        <v>2110</v>
      </c>
      <c r="B108" s="5" t="s">
        <v>1135</v>
      </c>
      <c r="C108" s="204" t="s">
        <v>1087</v>
      </c>
      <c r="D108" s="204" t="s">
        <v>106</v>
      </c>
      <c r="E108" s="151" t="s">
        <v>1161</v>
      </c>
    </row>
    <row r="109" spans="1:6">
      <c r="A109" s="467">
        <v>2150</v>
      </c>
      <c r="B109" s="5" t="s">
        <v>1136</v>
      </c>
      <c r="C109" s="204" t="s">
        <v>1087</v>
      </c>
      <c r="D109" s="204" t="s">
        <v>106</v>
      </c>
      <c r="E109" s="151" t="s">
        <v>1162</v>
      </c>
    </row>
    <row r="110" spans="1:6">
      <c r="A110" s="467">
        <v>2151</v>
      </c>
      <c r="B110" s="5" t="s">
        <v>1137</v>
      </c>
      <c r="C110" s="204" t="s">
        <v>1087</v>
      </c>
      <c r="D110" s="204" t="s">
        <v>106</v>
      </c>
      <c r="E110" s="151" t="s">
        <v>1162</v>
      </c>
    </row>
    <row r="111" spans="1:6">
      <c r="A111" s="467">
        <v>2152</v>
      </c>
      <c r="B111" s="5" t="s">
        <v>1138</v>
      </c>
      <c r="C111" s="204" t="s">
        <v>1087</v>
      </c>
      <c r="D111" s="204" t="s">
        <v>106</v>
      </c>
      <c r="E111" s="151" t="s">
        <v>1161</v>
      </c>
    </row>
    <row r="112" spans="1:6">
      <c r="A112" s="467">
        <v>2153</v>
      </c>
      <c r="B112" s="5" t="s">
        <v>1139</v>
      </c>
      <c r="C112" s="204" t="s">
        <v>1087</v>
      </c>
      <c r="D112" s="204" t="s">
        <v>106</v>
      </c>
      <c r="E112" s="151" t="s">
        <v>1162</v>
      </c>
    </row>
    <row r="113" spans="1:5">
      <c r="A113" s="467">
        <v>2154</v>
      </c>
      <c r="B113" s="5" t="s">
        <v>1140</v>
      </c>
      <c r="C113" s="204" t="s">
        <v>1087</v>
      </c>
      <c r="D113" s="204" t="s">
        <v>106</v>
      </c>
      <c r="E113" s="151" t="s">
        <v>1104</v>
      </c>
    </row>
    <row r="114" spans="1:5">
      <c r="A114" s="467">
        <v>2155</v>
      </c>
      <c r="B114" s="5" t="s">
        <v>1141</v>
      </c>
      <c r="C114" s="204" t="s">
        <v>1087</v>
      </c>
      <c r="D114" s="204" t="s">
        <v>106</v>
      </c>
      <c r="E114" s="151" t="s">
        <v>1104</v>
      </c>
    </row>
    <row r="115" spans="1:5">
      <c r="A115" s="467">
        <v>2501</v>
      </c>
      <c r="B115" s="5" t="s">
        <v>1143</v>
      </c>
      <c r="C115" s="204" t="s">
        <v>1087</v>
      </c>
      <c r="D115" s="204" t="s">
        <v>289</v>
      </c>
      <c r="E115" s="151" t="s">
        <v>1164</v>
      </c>
    </row>
    <row r="116" spans="1:5">
      <c r="A116" s="467">
        <v>2701</v>
      </c>
      <c r="B116" s="5" t="s">
        <v>1144</v>
      </c>
      <c r="C116" s="204" t="s">
        <v>1087</v>
      </c>
      <c r="D116" s="204" t="s">
        <v>289</v>
      </c>
      <c r="E116" s="151" t="s">
        <v>1165</v>
      </c>
    </row>
    <row r="117" spans="1:5">
      <c r="A117" s="467">
        <v>9000</v>
      </c>
      <c r="B117" s="5" t="s">
        <v>1158</v>
      </c>
      <c r="C117" s="468" t="s">
        <v>1163</v>
      </c>
      <c r="D117" s="204" t="s">
        <v>1168</v>
      </c>
      <c r="E117" s="151" t="s">
        <v>1161</v>
      </c>
    </row>
    <row r="118" spans="1:5">
      <c r="A118" s="467">
        <v>9012</v>
      </c>
      <c r="B118" s="5" t="s">
        <v>1151</v>
      </c>
      <c r="C118" s="468" t="s">
        <v>1163</v>
      </c>
      <c r="D118" s="204" t="s">
        <v>1168</v>
      </c>
      <c r="E118" s="151" t="s">
        <v>1178</v>
      </c>
    </row>
    <row r="119" spans="1:5">
      <c r="A119" s="467">
        <v>9014</v>
      </c>
      <c r="B119" s="5" t="s">
        <v>1159</v>
      </c>
      <c r="C119" s="468" t="s">
        <v>1163</v>
      </c>
      <c r="D119" s="204" t="s">
        <v>1168</v>
      </c>
      <c r="E119" s="151" t="s">
        <v>1104</v>
      </c>
    </row>
    <row r="120" spans="1:5">
      <c r="A120" s="467">
        <v>9180</v>
      </c>
      <c r="B120" s="5" t="s">
        <v>1142</v>
      </c>
      <c r="C120" s="468" t="s">
        <v>1163</v>
      </c>
      <c r="D120" s="204" t="s">
        <v>1168</v>
      </c>
      <c r="E120" s="151" t="s">
        <v>1102</v>
      </c>
    </row>
    <row r="121" spans="1:5">
      <c r="A121" s="467">
        <v>1000</v>
      </c>
      <c r="B121" s="5" t="s">
        <v>1149</v>
      </c>
      <c r="C121" s="468" t="s">
        <v>1179</v>
      </c>
      <c r="D121" s="204" t="s">
        <v>289</v>
      </c>
      <c r="E121" s="151" t="s">
        <v>1115</v>
      </c>
    </row>
    <row r="122" spans="1:5">
      <c r="A122" s="467">
        <v>2000</v>
      </c>
      <c r="B122" s="5" t="s">
        <v>1148</v>
      </c>
      <c r="C122" s="468" t="s">
        <v>1179</v>
      </c>
      <c r="D122" s="204" t="s">
        <v>289</v>
      </c>
      <c r="E122" s="151" t="s">
        <v>1115</v>
      </c>
    </row>
    <row r="123" spans="1:5">
      <c r="A123" s="467">
        <v>5000</v>
      </c>
      <c r="B123" s="5" t="s">
        <v>1150</v>
      </c>
      <c r="C123" s="468" t="s">
        <v>1179</v>
      </c>
      <c r="D123" s="204" t="s">
        <v>289</v>
      </c>
      <c r="E123" s="151" t="s">
        <v>1115</v>
      </c>
    </row>
    <row r="124" spans="1:5">
      <c r="A124" s="467">
        <v>4000</v>
      </c>
      <c r="B124" s="5" t="s">
        <v>1151</v>
      </c>
      <c r="C124" s="468" t="s">
        <v>1179</v>
      </c>
      <c r="D124" s="204" t="s">
        <v>289</v>
      </c>
      <c r="E124" s="151" t="s">
        <v>1115</v>
      </c>
    </row>
    <row r="125" spans="1:5">
      <c r="A125" s="467">
        <v>4040</v>
      </c>
      <c r="B125" s="5" t="s">
        <v>1152</v>
      </c>
      <c r="C125" s="468" t="s">
        <v>1179</v>
      </c>
      <c r="D125" s="204" t="s">
        <v>289</v>
      </c>
      <c r="E125" s="151" t="s">
        <v>1115</v>
      </c>
    </row>
    <row r="126" spans="1:5">
      <c r="A126" s="467">
        <v>4013</v>
      </c>
      <c r="B126" s="5" t="s">
        <v>1153</v>
      </c>
      <c r="C126" s="468" t="s">
        <v>1179</v>
      </c>
      <c r="D126" s="204" t="s">
        <v>289</v>
      </c>
      <c r="E126" s="151" t="s">
        <v>1115</v>
      </c>
    </row>
    <row r="127" spans="1:5">
      <c r="A127" s="467">
        <v>4023</v>
      </c>
      <c r="B127" s="5" t="s">
        <v>1154</v>
      </c>
      <c r="C127" s="468" t="s">
        <v>1179</v>
      </c>
      <c r="D127" s="204" t="s">
        <v>289</v>
      </c>
      <c r="E127" s="151" t="s">
        <v>1115</v>
      </c>
    </row>
    <row r="128" spans="1:5">
      <c r="A128" s="467">
        <v>4045</v>
      </c>
      <c r="B128" s="5" t="s">
        <v>1155</v>
      </c>
      <c r="C128" s="468" t="s">
        <v>1179</v>
      </c>
      <c r="D128" s="204" t="s">
        <v>289</v>
      </c>
      <c r="E128" s="151" t="s">
        <v>1115</v>
      </c>
    </row>
    <row r="129" spans="1:5">
      <c r="A129" s="467">
        <v>4046</v>
      </c>
      <c r="B129" s="5" t="s">
        <v>1156</v>
      </c>
      <c r="C129" s="468" t="s">
        <v>1179</v>
      </c>
      <c r="D129" s="204" t="s">
        <v>289</v>
      </c>
      <c r="E129" s="151" t="s">
        <v>1115</v>
      </c>
    </row>
    <row r="130" spans="1:5">
      <c r="A130" s="467">
        <v>4047</v>
      </c>
      <c r="B130" s="5" t="s">
        <v>1157</v>
      </c>
      <c r="C130" s="468" t="s">
        <v>1179</v>
      </c>
      <c r="D130" s="204" t="s">
        <v>289</v>
      </c>
      <c r="E130" s="151" t="s">
        <v>1115</v>
      </c>
    </row>
    <row r="131" spans="1:5">
      <c r="A131" s="467">
        <v>3011</v>
      </c>
      <c r="B131" s="5" t="s">
        <v>1055</v>
      </c>
      <c r="C131" s="468" t="s">
        <v>1179</v>
      </c>
      <c r="D131" s="204" t="s">
        <v>291</v>
      </c>
      <c r="E131" s="151" t="s">
        <v>1115</v>
      </c>
    </row>
    <row r="132" spans="1:5">
      <c r="A132" s="467">
        <v>3040</v>
      </c>
      <c r="B132" s="5" t="s">
        <v>1145</v>
      </c>
      <c r="C132" s="468" t="s">
        <v>1179</v>
      </c>
      <c r="D132" s="204" t="s">
        <v>291</v>
      </c>
      <c r="E132" s="151" t="s">
        <v>1115</v>
      </c>
    </row>
    <row r="133" spans="1:5">
      <c r="A133" s="467">
        <v>3041</v>
      </c>
      <c r="B133" s="5" t="s">
        <v>1146</v>
      </c>
      <c r="C133" s="468" t="s">
        <v>1179</v>
      </c>
      <c r="D133" s="204" t="s">
        <v>291</v>
      </c>
      <c r="E133" s="151" t="s">
        <v>1115</v>
      </c>
    </row>
    <row r="134" spans="1:5">
      <c r="A134" s="467">
        <v>3057</v>
      </c>
      <c r="B134" s="5" t="s">
        <v>1051</v>
      </c>
      <c r="C134" s="468" t="s">
        <v>1179</v>
      </c>
      <c r="D134" s="204" t="s">
        <v>291</v>
      </c>
      <c r="E134" s="151" t="s">
        <v>1115</v>
      </c>
    </row>
    <row r="135" spans="1:5">
      <c r="A135" s="467">
        <v>3042</v>
      </c>
      <c r="B135" s="5" t="s">
        <v>1057</v>
      </c>
      <c r="C135" s="468" t="s">
        <v>1179</v>
      </c>
      <c r="D135" s="204" t="s">
        <v>291</v>
      </c>
      <c r="E135" s="151" t="s">
        <v>1122</v>
      </c>
    </row>
    <row r="136" spans="1:5">
      <c r="A136" s="467">
        <v>3043</v>
      </c>
      <c r="B136" s="5" t="s">
        <v>1058</v>
      </c>
      <c r="C136" s="468" t="s">
        <v>1179</v>
      </c>
      <c r="D136" s="204" t="s">
        <v>291</v>
      </c>
      <c r="E136" s="151" t="s">
        <v>1115</v>
      </c>
    </row>
    <row r="137" spans="1:5">
      <c r="A137" s="467">
        <v>3044</v>
      </c>
      <c r="B137" s="5" t="s">
        <v>1059</v>
      </c>
      <c r="C137" s="468" t="s">
        <v>1179</v>
      </c>
      <c r="D137" s="204" t="s">
        <v>291</v>
      </c>
      <c r="E137" s="151" t="s">
        <v>1115</v>
      </c>
    </row>
    <row r="138" spans="1:5">
      <c r="A138" s="467">
        <v>3045</v>
      </c>
      <c r="B138" s="5" t="s">
        <v>1049</v>
      </c>
      <c r="C138" s="468" t="s">
        <v>1179</v>
      </c>
      <c r="D138" s="204" t="s">
        <v>291</v>
      </c>
      <c r="E138" s="151" t="s">
        <v>1115</v>
      </c>
    </row>
    <row r="139" spans="1:5">
      <c r="A139" s="467">
        <v>3046</v>
      </c>
      <c r="B139" s="5" t="s">
        <v>1052</v>
      </c>
      <c r="C139" s="468" t="s">
        <v>1179</v>
      </c>
      <c r="D139" s="204" t="s">
        <v>291</v>
      </c>
      <c r="E139" s="151" t="s">
        <v>1115</v>
      </c>
    </row>
    <row r="140" spans="1:5">
      <c r="A140" s="467">
        <v>3047</v>
      </c>
      <c r="B140" s="5" t="s">
        <v>1050</v>
      </c>
      <c r="C140" s="468" t="s">
        <v>1179</v>
      </c>
      <c r="D140" s="204" t="s">
        <v>291</v>
      </c>
      <c r="E140" s="151" t="s">
        <v>1115</v>
      </c>
    </row>
    <row r="141" spans="1:5">
      <c r="A141" s="467">
        <v>3048</v>
      </c>
      <c r="B141" s="5" t="s">
        <v>1147</v>
      </c>
      <c r="C141" s="468" t="s">
        <v>1179</v>
      </c>
      <c r="D141" s="204" t="s">
        <v>291</v>
      </c>
      <c r="E141" s="151" t="s">
        <v>1115</v>
      </c>
    </row>
    <row r="142" spans="1:5">
      <c r="A142" s="467" t="s">
        <v>1171</v>
      </c>
      <c r="B142" s="5" t="s">
        <v>1172</v>
      </c>
      <c r="C142" s="468" t="s">
        <v>1173</v>
      </c>
      <c r="D142" s="204" t="s">
        <v>1176</v>
      </c>
      <c r="E142" s="633" t="s">
        <v>1177</v>
      </c>
    </row>
    <row r="143" spans="1:5">
      <c r="A143" s="634" t="s">
        <v>1180</v>
      </c>
      <c r="B143" s="5" t="s">
        <v>1181</v>
      </c>
      <c r="C143" s="204" t="s">
        <v>1087</v>
      </c>
      <c r="D143" s="204" t="s">
        <v>106</v>
      </c>
      <c r="E143" s="633" t="s">
        <v>1177</v>
      </c>
    </row>
    <row r="144" spans="1:5">
      <c r="C144" s="204"/>
      <c r="D144" s="204"/>
    </row>
    <row r="145" spans="3:4">
      <c r="C145" s="204"/>
      <c r="D145" s="204"/>
    </row>
    <row r="146" spans="3:4">
      <c r="C146" s="204"/>
      <c r="D146" s="204"/>
    </row>
    <row r="147" spans="3:4">
      <c r="C147" s="204"/>
      <c r="D147" s="204"/>
    </row>
    <row r="148" spans="3:4">
      <c r="C148" s="204"/>
      <c r="D148" s="204"/>
    </row>
    <row r="149" spans="3:4">
      <c r="C149" s="204"/>
      <c r="D149" s="204"/>
    </row>
    <row r="150" spans="3:4">
      <c r="C150" s="204"/>
      <c r="D150" s="204"/>
    </row>
    <row r="151" spans="3:4">
      <c r="C151" s="204"/>
      <c r="D151" s="204"/>
    </row>
    <row r="152" spans="3:4">
      <c r="C152" s="204"/>
      <c r="D152" s="204"/>
    </row>
    <row r="153" spans="3:4">
      <c r="C153" s="204"/>
      <c r="D153" s="204"/>
    </row>
    <row r="154" spans="3:4">
      <c r="C154" s="204"/>
      <c r="D154" s="204"/>
    </row>
    <row r="155" spans="3:4">
      <c r="C155" s="204"/>
      <c r="D155" s="204"/>
    </row>
    <row r="156" spans="3:4">
      <c r="C156" s="204"/>
      <c r="D156" s="204"/>
    </row>
    <row r="157" spans="3:4">
      <c r="C157" s="204"/>
      <c r="D157" s="204"/>
    </row>
    <row r="158" spans="3:4">
      <c r="C158" s="204"/>
      <c r="D158" s="204"/>
    </row>
    <row r="159" spans="3:4">
      <c r="C159" s="204"/>
      <c r="D159" s="204"/>
    </row>
  </sheetData>
  <mergeCells count="2">
    <mergeCell ref="A6:F6"/>
    <mergeCell ref="A106:F106"/>
  </mergeCells>
  <phoneticPr fontId="11" type="noConversion"/>
  <dataValidations count="2">
    <dataValidation type="list" allowBlank="1" showInputMessage="1" showErrorMessage="1" sqref="D143:D159">
      <formula1>WTtype</formula1>
    </dataValidation>
    <dataValidation type="list" allowBlank="1" showInputMessage="1" showErrorMessage="1" sqref="C7:C105 C107:C159">
      <formula1>WTinfotype</formula1>
    </dataValidation>
  </dataValidations>
  <pageMargins left="0.75" right="0.75" top="1" bottom="1" header="0.5" footer="0.5"/>
  <headerFooter alignWithMargins="0"/>
  <ignoredErrors>
    <ignoredError sqref="A7 A10 A30 A55:A56 C7:C11 C17:C18 C26 C30 C33 C36 C39" numberStoredAsText="1"/>
  </ignoredErrors>
  <drawing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'Data Validation HIDE'!$B$30:$B$38</xm:f>
          </x14:formula1>
          <xm:sqref>D7:D105</xm:sqref>
        </x14:dataValidation>
        <x14:dataValidation type="list" allowBlank="1" showInputMessage="1" showErrorMessage="1">
          <x14:formula1>
            <xm:f>'Data Validation HIDE'!$B$30:$B$39</xm:f>
          </x14:formula1>
          <xm:sqref>D107:D142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4"/>
  <sheetViews>
    <sheetView topLeftCell="A16" zoomScaleNormal="100" workbookViewId="0">
      <selection activeCell="I39" sqref="I39"/>
    </sheetView>
  </sheetViews>
  <sheetFormatPr defaultRowHeight="13.2"/>
  <cols>
    <col min="1" max="1" width="29.6640625" customWidth="1"/>
    <col min="3" max="5" width="10.6640625" customWidth="1"/>
    <col min="6" max="6" width="13.5546875" customWidth="1"/>
    <col min="7" max="7" width="10.6640625" customWidth="1"/>
    <col min="8" max="10" width="12.6640625" customWidth="1"/>
    <col min="11" max="11" width="15.6640625" customWidth="1"/>
    <col min="12" max="12" width="15.44140625" customWidth="1"/>
  </cols>
  <sheetData>
    <row r="1" spans="1:18" ht="17.399999999999999">
      <c r="A1" s="110" t="s">
        <v>6</v>
      </c>
      <c r="K1" s="79"/>
    </row>
    <row r="2" spans="1:18">
      <c r="K2" s="79"/>
    </row>
    <row r="3" spans="1:18">
      <c r="K3" s="79"/>
    </row>
    <row r="4" spans="1:18" ht="30">
      <c r="A4" s="112" t="s">
        <v>335</v>
      </c>
      <c r="K4" s="79"/>
    </row>
    <row r="5" spans="1:18" ht="13.8">
      <c r="G5" s="188"/>
      <c r="H5" s="187"/>
      <c r="I5" s="187"/>
      <c r="J5" s="187"/>
      <c r="K5" s="171"/>
    </row>
    <row r="6" spans="1:18" ht="13.8">
      <c r="D6" s="5"/>
      <c r="E6" s="5"/>
      <c r="F6" s="5"/>
      <c r="G6" s="5"/>
      <c r="H6" s="5"/>
      <c r="I6" s="5"/>
      <c r="J6" s="5"/>
      <c r="K6" s="151"/>
      <c r="L6" s="5"/>
      <c r="M6" s="5"/>
      <c r="N6" s="5"/>
      <c r="O6" s="5"/>
      <c r="P6" s="5"/>
      <c r="Q6" s="5"/>
      <c r="R6" s="5"/>
    </row>
    <row r="7" spans="1:18" ht="13.8">
      <c r="A7" s="230" t="s">
        <v>273</v>
      </c>
      <c r="B7" s="189">
        <f>MAX('Index List'!A:A)</f>
        <v>64</v>
      </c>
      <c r="C7" s="191"/>
      <c r="D7" s="5"/>
      <c r="E7" s="5"/>
      <c r="F7" s="5"/>
      <c r="G7" s="229" t="s">
        <v>275</v>
      </c>
      <c r="H7" s="229" t="s">
        <v>187</v>
      </c>
      <c r="I7" s="229" t="s">
        <v>359</v>
      </c>
      <c r="J7" s="229" t="s">
        <v>277</v>
      </c>
      <c r="K7" s="232" t="s">
        <v>360</v>
      </c>
      <c r="L7" s="5"/>
      <c r="M7" s="5"/>
      <c r="N7" s="5"/>
      <c r="O7" s="5"/>
      <c r="P7" s="5"/>
      <c r="Q7" s="5"/>
    </row>
    <row r="8" spans="1:18" ht="13.8">
      <c r="A8" s="155" t="s">
        <v>274</v>
      </c>
      <c r="B8" s="159">
        <f>B9+B10+B11+B12</f>
        <v>64</v>
      </c>
      <c r="C8" s="152">
        <f>C9+C10+C11+C12</f>
        <v>1</v>
      </c>
      <c r="D8" s="5"/>
      <c r="E8" s="5"/>
      <c r="F8" s="5"/>
      <c r="G8" s="251">
        <v>1</v>
      </c>
      <c r="H8" s="252">
        <v>43466</v>
      </c>
      <c r="I8" s="610">
        <v>0.08</v>
      </c>
      <c r="J8" s="158" t="s">
        <v>1184</v>
      </c>
      <c r="K8" s="254">
        <f>IF(J8="Y",I8,0)</f>
        <v>0</v>
      </c>
      <c r="L8" s="5"/>
      <c r="M8" s="5"/>
      <c r="N8" s="5"/>
      <c r="O8" s="5"/>
      <c r="P8" s="5"/>
      <c r="Q8" s="5"/>
    </row>
    <row r="9" spans="1:18" ht="13.8">
      <c r="A9" s="155" t="s">
        <v>278</v>
      </c>
      <c r="B9" s="154">
        <v>22</v>
      </c>
      <c r="C9" s="157">
        <f>B9/$B$7</f>
        <v>0.34375</v>
      </c>
      <c r="D9" s="5"/>
      <c r="E9" s="5"/>
      <c r="F9" s="5"/>
      <c r="G9" s="251">
        <v>2</v>
      </c>
      <c r="H9" s="252">
        <v>43497</v>
      </c>
      <c r="I9" s="610">
        <v>0.08</v>
      </c>
      <c r="J9" s="158" t="s">
        <v>197</v>
      </c>
      <c r="K9" s="254">
        <f>IF(J9="Y",I9+K8,K8)</f>
        <v>0</v>
      </c>
      <c r="L9" s="5"/>
      <c r="M9" s="5"/>
      <c r="N9" s="5"/>
      <c r="O9" s="5"/>
      <c r="P9" s="5"/>
      <c r="Q9" s="5"/>
    </row>
    <row r="10" spans="1:18" ht="13.8">
      <c r="A10" s="190" t="s">
        <v>279</v>
      </c>
      <c r="B10" s="189">
        <v>38</v>
      </c>
      <c r="C10" s="157">
        <f>B10/$B$7</f>
        <v>0.59375</v>
      </c>
      <c r="D10" s="5"/>
      <c r="E10" s="5"/>
      <c r="F10" s="5"/>
      <c r="G10" s="251">
        <v>3</v>
      </c>
      <c r="H10" s="252">
        <v>43525</v>
      </c>
      <c r="I10" s="610">
        <v>0.08</v>
      </c>
      <c r="J10" s="158" t="s">
        <v>197</v>
      </c>
      <c r="K10" s="254">
        <f t="shared" ref="K10:K20" si="0">IF(J10="Y",I10+K9,K9)</f>
        <v>0</v>
      </c>
      <c r="L10" s="5"/>
      <c r="M10" s="5"/>
      <c r="N10" s="5"/>
      <c r="O10" s="5"/>
      <c r="P10" s="5"/>
      <c r="Q10" s="5"/>
    </row>
    <row r="11" spans="1:18" ht="13.8">
      <c r="A11" s="186" t="s">
        <v>280</v>
      </c>
      <c r="B11" s="189">
        <v>1</v>
      </c>
      <c r="C11" s="157">
        <f>B11/$B$7</f>
        <v>1.5625E-2</v>
      </c>
      <c r="D11" s="5"/>
      <c r="E11" s="5"/>
      <c r="F11" s="5"/>
      <c r="G11" s="251">
        <v>4</v>
      </c>
      <c r="H11" s="252">
        <v>43556</v>
      </c>
      <c r="I11" s="610">
        <v>0.08</v>
      </c>
      <c r="J11" s="158" t="s">
        <v>197</v>
      </c>
      <c r="K11" s="254">
        <f t="shared" si="0"/>
        <v>0</v>
      </c>
      <c r="L11" s="5"/>
      <c r="M11" s="5"/>
      <c r="N11" s="5"/>
      <c r="O11" s="5"/>
      <c r="P11" s="5"/>
      <c r="Q11" s="5"/>
    </row>
    <row r="12" spans="1:18" ht="13.8">
      <c r="A12" s="186" t="s">
        <v>281</v>
      </c>
      <c r="B12" s="189">
        <v>3</v>
      </c>
      <c r="C12" s="157">
        <f>B12/$B$7</f>
        <v>4.6875E-2</v>
      </c>
      <c r="D12" s="5"/>
      <c r="E12" s="5"/>
      <c r="F12" s="5"/>
      <c r="G12" s="251">
        <v>5</v>
      </c>
      <c r="H12" s="252">
        <v>43586</v>
      </c>
      <c r="I12" s="610">
        <v>0.06</v>
      </c>
      <c r="J12" s="158" t="s">
        <v>197</v>
      </c>
      <c r="K12" s="254">
        <f t="shared" si="0"/>
        <v>0</v>
      </c>
      <c r="L12" s="5"/>
      <c r="M12" s="5"/>
      <c r="N12" s="5"/>
      <c r="O12" s="5"/>
      <c r="P12" s="5"/>
      <c r="Q12" s="5"/>
    </row>
    <row r="13" spans="1:18" ht="13.8">
      <c r="A13" s="5"/>
      <c r="B13" s="5"/>
      <c r="C13" s="5"/>
      <c r="D13" s="5"/>
      <c r="E13" s="5"/>
      <c r="F13" s="5"/>
      <c r="G13" s="251">
        <v>6</v>
      </c>
      <c r="H13" s="252">
        <v>43617</v>
      </c>
      <c r="I13" s="610">
        <v>0.1</v>
      </c>
      <c r="J13" s="158" t="s">
        <v>197</v>
      </c>
      <c r="K13" s="254">
        <f t="shared" si="0"/>
        <v>0</v>
      </c>
      <c r="L13" s="5"/>
      <c r="M13" s="5"/>
      <c r="N13" s="5"/>
      <c r="O13" s="5"/>
      <c r="P13" s="5"/>
      <c r="Q13" s="5"/>
    </row>
    <row r="14" spans="1:18" ht="13.8">
      <c r="A14" s="5"/>
      <c r="B14" s="5"/>
      <c r="C14" s="5"/>
      <c r="D14" s="5"/>
      <c r="E14" s="5"/>
      <c r="F14" s="5"/>
      <c r="G14" s="251">
        <v>7</v>
      </c>
      <c r="H14" s="252">
        <v>43647</v>
      </c>
      <c r="I14" s="610">
        <v>7.0000000000000007E-2</v>
      </c>
      <c r="J14" s="158" t="s">
        <v>197</v>
      </c>
      <c r="K14" s="254">
        <f t="shared" si="0"/>
        <v>0</v>
      </c>
      <c r="L14" s="5"/>
      <c r="M14" s="5"/>
      <c r="N14" s="5"/>
      <c r="O14" s="5"/>
      <c r="P14" s="5"/>
      <c r="Q14" s="5"/>
    </row>
    <row r="15" spans="1:18" ht="13.8">
      <c r="A15" s="5"/>
      <c r="B15" s="5"/>
      <c r="C15" s="5"/>
      <c r="D15" s="5"/>
      <c r="E15" s="5"/>
      <c r="F15" s="5"/>
      <c r="G15" s="251">
        <v>8</v>
      </c>
      <c r="H15" s="252">
        <v>43678</v>
      </c>
      <c r="I15" s="610">
        <v>0.08</v>
      </c>
      <c r="J15" s="158" t="s">
        <v>197</v>
      </c>
      <c r="K15" s="254">
        <f t="shared" si="0"/>
        <v>0</v>
      </c>
      <c r="L15" s="5"/>
      <c r="M15" s="5"/>
      <c r="N15" s="5"/>
      <c r="O15" s="5"/>
      <c r="P15" s="5"/>
      <c r="Q15" s="5"/>
    </row>
    <row r="16" spans="1:18" ht="13.8">
      <c r="A16" s="5"/>
      <c r="B16" s="5"/>
      <c r="C16" s="5"/>
      <c r="D16" s="5"/>
      <c r="E16" s="5"/>
      <c r="F16" s="5"/>
      <c r="G16" s="251">
        <v>9</v>
      </c>
      <c r="H16" s="252">
        <v>43709</v>
      </c>
      <c r="I16" s="610">
        <v>0.06</v>
      </c>
      <c r="J16" s="158" t="s">
        <v>197</v>
      </c>
      <c r="K16" s="254">
        <f t="shared" si="0"/>
        <v>0</v>
      </c>
      <c r="L16" s="5"/>
      <c r="M16" s="5"/>
      <c r="N16" s="5"/>
      <c r="O16" s="5"/>
      <c r="P16" s="5"/>
      <c r="Q16" s="5"/>
    </row>
    <row r="17" spans="1:18" ht="13.8">
      <c r="A17" s="5"/>
      <c r="B17" s="5"/>
      <c r="C17" s="5"/>
      <c r="D17" s="5"/>
      <c r="E17" s="5"/>
      <c r="F17" s="5"/>
      <c r="G17" s="251">
        <v>10</v>
      </c>
      <c r="H17" s="252">
        <v>43739</v>
      </c>
      <c r="I17" s="610">
        <v>7.0000000000000007E-2</v>
      </c>
      <c r="J17" s="158" t="s">
        <v>197</v>
      </c>
      <c r="K17" s="254">
        <f t="shared" si="0"/>
        <v>0</v>
      </c>
      <c r="L17" s="5"/>
      <c r="M17" s="5"/>
      <c r="N17" s="5"/>
      <c r="O17" s="5"/>
      <c r="P17" s="5"/>
      <c r="Q17" s="5"/>
    </row>
    <row r="18" spans="1:18" ht="13.8">
      <c r="A18" s="5"/>
      <c r="B18" s="5"/>
      <c r="C18" s="5"/>
      <c r="D18" s="5"/>
      <c r="E18" s="5"/>
      <c r="F18" s="5"/>
      <c r="G18" s="251">
        <v>11</v>
      </c>
      <c r="H18" s="252">
        <v>43770</v>
      </c>
      <c r="I18" s="610">
        <v>0.1</v>
      </c>
      <c r="J18" s="158" t="s">
        <v>197</v>
      </c>
      <c r="K18" s="254">
        <f t="shared" si="0"/>
        <v>0</v>
      </c>
      <c r="L18" s="5"/>
      <c r="M18" s="5"/>
      <c r="N18" s="5"/>
      <c r="O18" s="5"/>
      <c r="P18" s="5"/>
      <c r="Q18" s="5"/>
    </row>
    <row r="19" spans="1:18" ht="13.8">
      <c r="A19" s="5"/>
      <c r="B19" s="5"/>
      <c r="C19" s="5"/>
      <c r="D19" s="5"/>
      <c r="E19" s="5"/>
      <c r="F19" s="5"/>
      <c r="G19" s="251">
        <v>12</v>
      </c>
      <c r="H19" s="252">
        <v>43800</v>
      </c>
      <c r="I19" s="610">
        <v>0.06</v>
      </c>
      <c r="J19" s="158" t="s">
        <v>197</v>
      </c>
      <c r="K19" s="254">
        <f t="shared" si="0"/>
        <v>0</v>
      </c>
      <c r="L19" s="5"/>
      <c r="M19" s="5"/>
      <c r="N19" s="5"/>
      <c r="O19" s="5"/>
      <c r="P19" s="5"/>
      <c r="Q19" s="5"/>
    </row>
    <row r="20" spans="1:18" ht="13.8">
      <c r="A20" s="5"/>
      <c r="B20" s="5"/>
      <c r="C20" s="5"/>
      <c r="D20" s="5"/>
      <c r="E20" s="5"/>
      <c r="F20" s="5"/>
      <c r="G20" s="251">
        <v>13</v>
      </c>
      <c r="H20" s="252">
        <v>43831</v>
      </c>
      <c r="I20" s="610">
        <v>0.08</v>
      </c>
      <c r="J20" s="158" t="s">
        <v>197</v>
      </c>
      <c r="K20" s="254">
        <f t="shared" si="0"/>
        <v>0</v>
      </c>
      <c r="L20" s="5"/>
      <c r="M20" s="5"/>
      <c r="N20" s="5"/>
      <c r="O20" s="5"/>
      <c r="P20" s="5"/>
      <c r="Q20" s="5"/>
    </row>
    <row r="21" spans="1:18" ht="13.8">
      <c r="A21" s="5"/>
      <c r="B21" s="5"/>
      <c r="C21" s="5"/>
      <c r="D21" s="5"/>
      <c r="E21" s="5"/>
      <c r="F21" s="5"/>
      <c r="G21" s="251"/>
      <c r="H21" s="252"/>
      <c r="I21" s="253"/>
      <c r="J21" s="158"/>
      <c r="K21" s="254"/>
      <c r="L21" s="5"/>
      <c r="M21" s="5"/>
      <c r="N21" s="5"/>
      <c r="O21" s="5"/>
      <c r="P21" s="5"/>
      <c r="Q21" s="5"/>
    </row>
    <row r="22" spans="1:18" ht="13.8">
      <c r="A22" s="5"/>
      <c r="B22" s="5"/>
      <c r="C22" s="5"/>
      <c r="D22" s="5"/>
      <c r="E22" s="5"/>
      <c r="F22" s="5"/>
      <c r="G22" s="251"/>
      <c r="H22" s="252"/>
      <c r="I22" s="253"/>
      <c r="J22" s="158"/>
      <c r="K22" s="254"/>
      <c r="L22" s="5"/>
      <c r="M22" s="5"/>
      <c r="N22" s="5"/>
      <c r="O22" s="5"/>
      <c r="P22" s="5"/>
      <c r="Q22" s="5"/>
    </row>
    <row r="23" spans="1:18" ht="13.8">
      <c r="A23" s="5"/>
      <c r="B23" s="5"/>
      <c r="C23" s="5"/>
      <c r="D23" s="5"/>
      <c r="E23" s="5"/>
      <c r="F23" s="5"/>
      <c r="G23" s="251"/>
      <c r="H23" s="252"/>
      <c r="I23" s="253"/>
      <c r="J23" s="158"/>
      <c r="K23" s="254"/>
      <c r="L23" s="5"/>
      <c r="M23" s="5"/>
      <c r="N23" s="5"/>
      <c r="O23" s="5"/>
      <c r="P23" s="5"/>
      <c r="Q23" s="5"/>
    </row>
    <row r="24" spans="1:18" ht="13.8">
      <c r="A24" s="5"/>
      <c r="B24" s="5"/>
      <c r="C24" s="5"/>
      <c r="D24" s="5"/>
      <c r="E24" s="5"/>
      <c r="F24" s="5"/>
      <c r="G24" s="251"/>
      <c r="H24" s="252"/>
      <c r="I24" s="253"/>
      <c r="J24" s="158"/>
      <c r="K24" s="254"/>
      <c r="L24" s="5"/>
      <c r="M24" s="5"/>
      <c r="N24" s="5"/>
      <c r="O24" s="5"/>
      <c r="P24" s="5"/>
      <c r="Q24" s="5"/>
      <c r="R24" s="5"/>
    </row>
    <row r="25" spans="1:18" ht="13.8">
      <c r="A25" s="5"/>
      <c r="B25" s="5"/>
      <c r="C25" s="5"/>
      <c r="D25" s="5"/>
      <c r="E25" s="5"/>
      <c r="F25" s="5"/>
      <c r="G25" s="251"/>
      <c r="H25" s="252"/>
      <c r="I25" s="253"/>
      <c r="J25" s="158"/>
      <c r="K25" s="254"/>
      <c r="L25" s="5"/>
      <c r="M25" s="5"/>
      <c r="N25" s="5"/>
      <c r="O25" s="5"/>
      <c r="P25" s="5"/>
      <c r="Q25" s="5"/>
      <c r="R25" s="5"/>
    </row>
    <row r="26" spans="1:18" ht="13.8">
      <c r="A26" s="5"/>
      <c r="B26" s="5"/>
      <c r="C26" s="5"/>
      <c r="D26" s="5"/>
      <c r="E26" s="5"/>
      <c r="F26" s="5"/>
      <c r="G26" s="251"/>
      <c r="H26" s="252"/>
      <c r="I26" s="253"/>
      <c r="J26" s="158"/>
      <c r="K26" s="254"/>
      <c r="L26" s="5"/>
      <c r="M26" s="5"/>
      <c r="N26" s="5"/>
      <c r="O26" s="5"/>
      <c r="P26" s="5"/>
      <c r="Q26" s="5"/>
      <c r="R26" s="5"/>
    </row>
    <row r="27" spans="1:18" ht="13.8">
      <c r="A27" s="5"/>
      <c r="B27" s="5"/>
      <c r="C27" s="5"/>
      <c r="D27" s="5"/>
      <c r="E27" s="5"/>
      <c r="F27" s="5"/>
      <c r="G27" s="251"/>
      <c r="H27" s="252"/>
      <c r="I27" s="253"/>
      <c r="J27" s="158"/>
      <c r="K27" s="254"/>
      <c r="L27" s="5"/>
      <c r="M27" s="5"/>
      <c r="N27" s="5"/>
      <c r="O27" s="5"/>
      <c r="P27" s="5"/>
      <c r="Q27" s="5"/>
      <c r="R27" s="5"/>
    </row>
    <row r="28" spans="1:18" ht="13.8">
      <c r="A28" s="5"/>
      <c r="B28" s="5"/>
      <c r="C28" s="5"/>
      <c r="D28" s="5"/>
      <c r="E28" s="5"/>
      <c r="F28" s="5"/>
      <c r="G28" s="251"/>
      <c r="H28" s="252"/>
      <c r="I28" s="253"/>
      <c r="J28" s="158"/>
      <c r="K28" s="254"/>
      <c r="L28" s="5"/>
      <c r="M28" s="5"/>
      <c r="N28" s="5"/>
      <c r="O28" s="5"/>
      <c r="P28" s="5"/>
      <c r="Q28" s="5"/>
      <c r="R28" s="5"/>
    </row>
    <row r="29" spans="1:18" ht="13.8">
      <c r="G29" s="251"/>
      <c r="H29" s="252"/>
      <c r="I29" s="253"/>
      <c r="J29" s="158"/>
      <c r="K29" s="254"/>
    </row>
    <row r="30" spans="1:18" ht="13.8">
      <c r="G30" s="251"/>
      <c r="H30" s="252"/>
      <c r="I30" s="253"/>
      <c r="J30" s="158"/>
      <c r="K30" s="254"/>
    </row>
    <row r="31" spans="1:18" ht="13.8">
      <c r="G31" s="251"/>
      <c r="H31" s="252"/>
      <c r="I31" s="253"/>
      <c r="J31" s="158"/>
      <c r="K31" s="254"/>
    </row>
    <row r="33" spans="1:10" ht="14.4" thickBot="1">
      <c r="G33" s="255" t="s">
        <v>282</v>
      </c>
      <c r="H33" s="255"/>
      <c r="I33" s="256">
        <f>SUM(I8:I31)</f>
        <v>0.99999999999999989</v>
      </c>
    </row>
    <row r="34" spans="1:10" ht="13.8" thickTop="1"/>
    <row r="36" spans="1:10" ht="13.8">
      <c r="A36" s="246" t="s">
        <v>352</v>
      </c>
      <c r="B36" s="247"/>
      <c r="C36" s="246">
        <f>A37</f>
        <v>1</v>
      </c>
      <c r="D36" s="248" t="s">
        <v>353</v>
      </c>
      <c r="E36" s="248" t="s">
        <v>182</v>
      </c>
      <c r="F36" s="248" t="s">
        <v>195</v>
      </c>
      <c r="G36" s="248" t="s">
        <v>198</v>
      </c>
      <c r="H36" s="248" t="s">
        <v>199</v>
      </c>
      <c r="I36" s="249" t="s">
        <v>181</v>
      </c>
      <c r="J36" s="249" t="s">
        <v>183</v>
      </c>
    </row>
    <row r="37" spans="1:10" ht="13.8">
      <c r="A37" s="246">
        <f>SUM(A38:A61)</f>
        <v>1</v>
      </c>
      <c r="B37" s="246" t="s">
        <v>354</v>
      </c>
      <c r="C37" s="246" t="s">
        <v>276</v>
      </c>
      <c r="D37" s="246">
        <f t="shared" ref="D37:J37" si="1">SUM(D38:D61)</f>
        <v>1</v>
      </c>
      <c r="E37" s="246">
        <f t="shared" si="1"/>
        <v>0</v>
      </c>
      <c r="F37" s="246">
        <f t="shared" si="1"/>
        <v>0</v>
      </c>
      <c r="G37" s="246">
        <f t="shared" si="1"/>
        <v>0</v>
      </c>
      <c r="H37" s="246">
        <f t="shared" si="1"/>
        <v>0</v>
      </c>
      <c r="I37" s="231">
        <f t="shared" si="1"/>
        <v>1</v>
      </c>
      <c r="J37" s="231">
        <f t="shared" si="1"/>
        <v>0</v>
      </c>
    </row>
    <row r="38" spans="1:10" ht="13.8">
      <c r="A38" s="257">
        <f>SUM(D38:H38)</f>
        <v>1</v>
      </c>
      <c r="B38" s="251">
        <f>G8</f>
        <v>1</v>
      </c>
      <c r="C38" s="252">
        <f>H8</f>
        <v>43466</v>
      </c>
      <c r="D38" s="258">
        <v>1</v>
      </c>
      <c r="E38" s="258"/>
      <c r="F38" s="258"/>
      <c r="G38" s="258"/>
      <c r="H38" s="258"/>
      <c r="I38" s="258">
        <v>1</v>
      </c>
      <c r="J38" s="257">
        <f>A38-I38</f>
        <v>0</v>
      </c>
    </row>
    <row r="39" spans="1:10" ht="13.8">
      <c r="A39" s="257">
        <f t="shared" ref="A39:A61" si="2">SUM(D39:H39)</f>
        <v>0</v>
      </c>
      <c r="B39" s="251">
        <f t="shared" ref="B39:C39" si="3">G9</f>
        <v>2</v>
      </c>
      <c r="C39" s="252">
        <f t="shared" si="3"/>
        <v>43497</v>
      </c>
      <c r="D39" s="258"/>
      <c r="E39" s="258"/>
      <c r="F39" s="258"/>
      <c r="G39" s="258"/>
      <c r="H39" s="258"/>
      <c r="I39" s="258"/>
      <c r="J39" s="257">
        <f t="shared" ref="J39:J61" si="4">A39-I39</f>
        <v>0</v>
      </c>
    </row>
    <row r="40" spans="1:10" ht="13.8">
      <c r="A40" s="257">
        <f t="shared" si="2"/>
        <v>0</v>
      </c>
      <c r="B40" s="251">
        <f t="shared" ref="B40:C40" si="5">G10</f>
        <v>3</v>
      </c>
      <c r="C40" s="252">
        <f t="shared" si="5"/>
        <v>43525</v>
      </c>
      <c r="D40" s="258"/>
      <c r="E40" s="258"/>
      <c r="F40" s="258"/>
      <c r="G40" s="258"/>
      <c r="H40" s="258"/>
      <c r="I40" s="258"/>
      <c r="J40" s="257">
        <f t="shared" si="4"/>
        <v>0</v>
      </c>
    </row>
    <row r="41" spans="1:10" ht="13.8">
      <c r="A41" s="257">
        <f t="shared" si="2"/>
        <v>0</v>
      </c>
      <c r="B41" s="251">
        <f t="shared" ref="B41:C41" si="6">G11</f>
        <v>4</v>
      </c>
      <c r="C41" s="252">
        <f t="shared" si="6"/>
        <v>43556</v>
      </c>
      <c r="D41" s="258"/>
      <c r="E41" s="258"/>
      <c r="F41" s="258"/>
      <c r="G41" s="258"/>
      <c r="H41" s="258"/>
      <c r="I41" s="258"/>
      <c r="J41" s="257">
        <f t="shared" si="4"/>
        <v>0</v>
      </c>
    </row>
    <row r="42" spans="1:10" ht="13.8">
      <c r="A42" s="257">
        <f t="shared" si="2"/>
        <v>0</v>
      </c>
      <c r="B42" s="251">
        <f t="shared" ref="B42:C42" si="7">G12</f>
        <v>5</v>
      </c>
      <c r="C42" s="252">
        <f t="shared" si="7"/>
        <v>43586</v>
      </c>
      <c r="D42" s="258"/>
      <c r="E42" s="258"/>
      <c r="F42" s="258"/>
      <c r="G42" s="258"/>
      <c r="H42" s="258"/>
      <c r="I42" s="258"/>
      <c r="J42" s="257">
        <f t="shared" si="4"/>
        <v>0</v>
      </c>
    </row>
    <row r="43" spans="1:10" ht="13.8">
      <c r="A43" s="257">
        <f t="shared" si="2"/>
        <v>0</v>
      </c>
      <c r="B43" s="251">
        <f t="shared" ref="B43:C43" si="8">G13</f>
        <v>6</v>
      </c>
      <c r="C43" s="252">
        <f t="shared" si="8"/>
        <v>43617</v>
      </c>
      <c r="D43" s="258"/>
      <c r="E43" s="258"/>
      <c r="F43" s="258"/>
      <c r="G43" s="258"/>
      <c r="H43" s="258"/>
      <c r="I43" s="258"/>
      <c r="J43" s="257">
        <f t="shared" si="4"/>
        <v>0</v>
      </c>
    </row>
    <row r="44" spans="1:10" ht="13.8">
      <c r="A44" s="257">
        <f t="shared" si="2"/>
        <v>0</v>
      </c>
      <c r="B44" s="251">
        <f t="shared" ref="B44:C44" si="9">G14</f>
        <v>7</v>
      </c>
      <c r="C44" s="252">
        <f t="shared" si="9"/>
        <v>43647</v>
      </c>
      <c r="D44" s="258"/>
      <c r="E44" s="258"/>
      <c r="F44" s="258"/>
      <c r="G44" s="258"/>
      <c r="H44" s="258"/>
      <c r="I44" s="258"/>
      <c r="J44" s="257">
        <f t="shared" si="4"/>
        <v>0</v>
      </c>
    </row>
    <row r="45" spans="1:10" ht="13.8">
      <c r="A45" s="257">
        <f t="shared" si="2"/>
        <v>0</v>
      </c>
      <c r="B45" s="251">
        <f t="shared" ref="B45:C45" si="10">G15</f>
        <v>8</v>
      </c>
      <c r="C45" s="252">
        <f t="shared" si="10"/>
        <v>43678</v>
      </c>
      <c r="D45" s="258"/>
      <c r="E45" s="258"/>
      <c r="F45" s="258"/>
      <c r="G45" s="258"/>
      <c r="H45" s="258"/>
      <c r="I45" s="258"/>
      <c r="J45" s="257">
        <f t="shared" si="4"/>
        <v>0</v>
      </c>
    </row>
    <row r="46" spans="1:10" ht="13.8">
      <c r="A46" s="257">
        <f t="shared" si="2"/>
        <v>0</v>
      </c>
      <c r="B46" s="251">
        <f t="shared" ref="B46:C46" si="11">G16</f>
        <v>9</v>
      </c>
      <c r="C46" s="252">
        <f t="shared" si="11"/>
        <v>43709</v>
      </c>
      <c r="D46" s="258"/>
      <c r="E46" s="258"/>
      <c r="F46" s="258"/>
      <c r="G46" s="258"/>
      <c r="H46" s="258"/>
      <c r="I46" s="258"/>
      <c r="J46" s="257">
        <f t="shared" si="4"/>
        <v>0</v>
      </c>
    </row>
    <row r="47" spans="1:10" ht="13.8">
      <c r="A47" s="257">
        <f t="shared" si="2"/>
        <v>0</v>
      </c>
      <c r="B47" s="251">
        <f t="shared" ref="B47:C47" si="12">G17</f>
        <v>10</v>
      </c>
      <c r="C47" s="252">
        <f t="shared" si="12"/>
        <v>43739</v>
      </c>
      <c r="D47" s="258"/>
      <c r="E47" s="258"/>
      <c r="F47" s="258"/>
      <c r="G47" s="258"/>
      <c r="H47" s="258"/>
      <c r="I47" s="258"/>
      <c r="J47" s="257">
        <f t="shared" si="4"/>
        <v>0</v>
      </c>
    </row>
    <row r="48" spans="1:10" ht="13.8">
      <c r="A48" s="257">
        <f t="shared" si="2"/>
        <v>0</v>
      </c>
      <c r="B48" s="251">
        <f t="shared" ref="B48:C48" si="13">G18</f>
        <v>11</v>
      </c>
      <c r="C48" s="252">
        <f t="shared" si="13"/>
        <v>43770</v>
      </c>
      <c r="D48" s="258"/>
      <c r="E48" s="258"/>
      <c r="F48" s="258"/>
      <c r="G48" s="258"/>
      <c r="H48" s="258"/>
      <c r="I48" s="258"/>
      <c r="J48" s="257">
        <f t="shared" si="4"/>
        <v>0</v>
      </c>
    </row>
    <row r="49" spans="1:10" ht="13.8">
      <c r="A49" s="257">
        <f t="shared" si="2"/>
        <v>0</v>
      </c>
      <c r="B49" s="251">
        <f t="shared" ref="B49:C49" si="14">G19</f>
        <v>12</v>
      </c>
      <c r="C49" s="252">
        <f t="shared" si="14"/>
        <v>43800</v>
      </c>
      <c r="D49" s="258"/>
      <c r="E49" s="258"/>
      <c r="F49" s="258"/>
      <c r="G49" s="258"/>
      <c r="H49" s="258"/>
      <c r="I49" s="258"/>
      <c r="J49" s="257">
        <f t="shared" si="4"/>
        <v>0</v>
      </c>
    </row>
    <row r="50" spans="1:10" ht="13.8">
      <c r="A50" s="257">
        <f t="shared" si="2"/>
        <v>0</v>
      </c>
      <c r="B50" s="251">
        <f t="shared" ref="B50:C50" si="15">G20</f>
        <v>13</v>
      </c>
      <c r="C50" s="252">
        <f t="shared" si="15"/>
        <v>43831</v>
      </c>
      <c r="D50" s="258"/>
      <c r="E50" s="258"/>
      <c r="F50" s="258"/>
      <c r="G50" s="258"/>
      <c r="H50" s="258"/>
      <c r="I50" s="258"/>
      <c r="J50" s="257">
        <f t="shared" si="4"/>
        <v>0</v>
      </c>
    </row>
    <row r="51" spans="1:10" ht="13.8">
      <c r="A51" s="257">
        <f t="shared" si="2"/>
        <v>0</v>
      </c>
      <c r="B51" s="251">
        <f t="shared" ref="B51:C51" si="16">G21</f>
        <v>0</v>
      </c>
      <c r="C51" s="252">
        <f t="shared" si="16"/>
        <v>0</v>
      </c>
      <c r="D51" s="258"/>
      <c r="E51" s="258"/>
      <c r="F51" s="258"/>
      <c r="G51" s="258"/>
      <c r="H51" s="258"/>
      <c r="I51" s="258"/>
      <c r="J51" s="257">
        <f t="shared" si="4"/>
        <v>0</v>
      </c>
    </row>
    <row r="52" spans="1:10" ht="13.8">
      <c r="A52" s="257">
        <f t="shared" si="2"/>
        <v>0</v>
      </c>
      <c r="B52" s="251">
        <f t="shared" ref="B52" si="17">G22</f>
        <v>0</v>
      </c>
      <c r="C52" s="259"/>
      <c r="D52" s="258"/>
      <c r="E52" s="258"/>
      <c r="F52" s="258"/>
      <c r="G52" s="258"/>
      <c r="H52" s="258"/>
      <c r="I52" s="258"/>
      <c r="J52" s="257">
        <f t="shared" si="4"/>
        <v>0</v>
      </c>
    </row>
    <row r="53" spans="1:10" ht="13.8">
      <c r="A53" s="257">
        <f t="shared" si="2"/>
        <v>0</v>
      </c>
      <c r="B53" s="251">
        <f t="shared" ref="B53" si="18">G23</f>
        <v>0</v>
      </c>
      <c r="C53" s="259"/>
      <c r="D53" s="258"/>
      <c r="E53" s="258"/>
      <c r="F53" s="258"/>
      <c r="G53" s="258"/>
      <c r="H53" s="258"/>
      <c r="I53" s="258"/>
      <c r="J53" s="257">
        <f t="shared" si="4"/>
        <v>0</v>
      </c>
    </row>
    <row r="54" spans="1:10" ht="13.8">
      <c r="A54" s="257">
        <f t="shared" si="2"/>
        <v>0</v>
      </c>
      <c r="B54" s="251">
        <f t="shared" ref="B54" si="19">G24</f>
        <v>0</v>
      </c>
      <c r="C54" s="259"/>
      <c r="D54" s="258"/>
      <c r="E54" s="258"/>
      <c r="F54" s="258"/>
      <c r="G54" s="258"/>
      <c r="H54" s="258"/>
      <c r="I54" s="258"/>
      <c r="J54" s="257">
        <f t="shared" si="4"/>
        <v>0</v>
      </c>
    </row>
    <row r="55" spans="1:10" ht="13.8">
      <c r="A55" s="257">
        <f t="shared" si="2"/>
        <v>0</v>
      </c>
      <c r="B55" s="251">
        <f t="shared" ref="B55" si="20">G25</f>
        <v>0</v>
      </c>
      <c r="C55" s="259"/>
      <c r="D55" s="258"/>
      <c r="E55" s="258"/>
      <c r="F55" s="258"/>
      <c r="G55" s="258"/>
      <c r="H55" s="258"/>
      <c r="I55" s="258"/>
      <c r="J55" s="257">
        <f t="shared" si="4"/>
        <v>0</v>
      </c>
    </row>
    <row r="56" spans="1:10" ht="13.8">
      <c r="A56" s="257">
        <f t="shared" si="2"/>
        <v>0</v>
      </c>
      <c r="B56" s="251">
        <f t="shared" ref="B56" si="21">G26</f>
        <v>0</v>
      </c>
      <c r="C56" s="259"/>
      <c r="D56" s="258"/>
      <c r="E56" s="258"/>
      <c r="F56" s="258"/>
      <c r="G56" s="258"/>
      <c r="H56" s="258"/>
      <c r="I56" s="258"/>
      <c r="J56" s="257">
        <f t="shared" si="4"/>
        <v>0</v>
      </c>
    </row>
    <row r="57" spans="1:10" ht="13.8">
      <c r="A57" s="257">
        <f t="shared" si="2"/>
        <v>0</v>
      </c>
      <c r="B57" s="251">
        <f t="shared" ref="B57" si="22">G27</f>
        <v>0</v>
      </c>
      <c r="C57" s="259"/>
      <c r="D57" s="258"/>
      <c r="E57" s="258"/>
      <c r="F57" s="258"/>
      <c r="G57" s="258"/>
      <c r="H57" s="258"/>
      <c r="I57" s="258"/>
      <c r="J57" s="257">
        <f t="shared" si="4"/>
        <v>0</v>
      </c>
    </row>
    <row r="58" spans="1:10" ht="13.8">
      <c r="A58" s="257">
        <f t="shared" si="2"/>
        <v>0</v>
      </c>
      <c r="B58" s="251">
        <f t="shared" ref="B58" si="23">G28</f>
        <v>0</v>
      </c>
      <c r="C58" s="259"/>
      <c r="D58" s="258"/>
      <c r="E58" s="258"/>
      <c r="F58" s="258"/>
      <c r="G58" s="258"/>
      <c r="H58" s="258"/>
      <c r="I58" s="258"/>
      <c r="J58" s="257">
        <f t="shared" si="4"/>
        <v>0</v>
      </c>
    </row>
    <row r="59" spans="1:10" ht="13.8">
      <c r="A59" s="257">
        <f t="shared" si="2"/>
        <v>0</v>
      </c>
      <c r="B59" s="251">
        <f t="shared" ref="B59" si="24">G29</f>
        <v>0</v>
      </c>
      <c r="C59" s="259"/>
      <c r="D59" s="258"/>
      <c r="E59" s="258"/>
      <c r="F59" s="258"/>
      <c r="G59" s="258"/>
      <c r="H59" s="258"/>
      <c r="I59" s="258"/>
      <c r="J59" s="257">
        <f t="shared" si="4"/>
        <v>0</v>
      </c>
    </row>
    <row r="60" spans="1:10" ht="13.8">
      <c r="A60" s="257">
        <f t="shared" si="2"/>
        <v>0</v>
      </c>
      <c r="B60" s="251">
        <f t="shared" ref="B60" si="25">G30</f>
        <v>0</v>
      </c>
      <c r="C60" s="259"/>
      <c r="D60" s="258"/>
      <c r="E60" s="258"/>
      <c r="F60" s="258"/>
      <c r="G60" s="258"/>
      <c r="H60" s="258"/>
      <c r="I60" s="258"/>
      <c r="J60" s="257">
        <f t="shared" si="4"/>
        <v>0</v>
      </c>
    </row>
    <row r="61" spans="1:10" ht="13.8">
      <c r="A61" s="257">
        <f t="shared" si="2"/>
        <v>0</v>
      </c>
      <c r="B61" s="251">
        <f t="shared" ref="B61" si="26">G31</f>
        <v>0</v>
      </c>
      <c r="C61" s="259"/>
      <c r="D61" s="258"/>
      <c r="E61" s="258"/>
      <c r="F61" s="258"/>
      <c r="G61" s="258"/>
      <c r="H61" s="258"/>
      <c r="I61" s="258"/>
      <c r="J61" s="257">
        <f t="shared" si="4"/>
        <v>0</v>
      </c>
    </row>
    <row r="64" spans="1:10" ht="13.8">
      <c r="C64" s="260"/>
      <c r="D64" s="5" t="s">
        <v>361</v>
      </c>
    </row>
  </sheetData>
  <phoneticPr fontId="104"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W106"/>
  <sheetViews>
    <sheetView topLeftCell="A4" workbookViewId="0">
      <pane xSplit="2" ySplit="8" topLeftCell="C53" activePane="bottomRight" state="frozen"/>
      <selection activeCell="A4" sqref="A4"/>
      <selection pane="topRight" activeCell="C4" sqref="C4"/>
      <selection pane="bottomLeft" activeCell="A12" sqref="A12"/>
      <selection pane="bottomRight" activeCell="L59" sqref="L59"/>
    </sheetView>
  </sheetViews>
  <sheetFormatPr defaultColWidth="9.109375" defaultRowHeight="13.8"/>
  <cols>
    <col min="1" max="1" width="11.88671875" style="3" customWidth="1"/>
    <col min="2" max="2" width="13.5546875" style="3" bestFit="1" customWidth="1"/>
    <col min="3" max="4" width="10.77734375" style="3" customWidth="1"/>
    <col min="5" max="5" width="10.77734375" style="4" customWidth="1"/>
    <col min="6" max="6" width="10.77734375" customWidth="1"/>
    <col min="7" max="16" width="10.77734375" style="4" customWidth="1"/>
    <col min="17" max="17" width="10.6640625" style="4" bestFit="1" customWidth="1"/>
    <col min="18" max="16384" width="9.109375" style="4"/>
  </cols>
  <sheetData>
    <row r="1" spans="1:17" s="3" customFormat="1" ht="20.399999999999999">
      <c r="A1" s="110" t="s">
        <v>6</v>
      </c>
      <c r="B1" s="110"/>
      <c r="C1" s="110"/>
      <c r="D1" s="110"/>
      <c r="E1" s="110"/>
      <c r="K1" s="8"/>
      <c r="L1" s="8"/>
      <c r="M1" s="8"/>
    </row>
    <row r="2" spans="1:17">
      <c r="E2" s="9"/>
      <c r="F2" s="4"/>
      <c r="K2" s="9"/>
      <c r="L2" s="9"/>
      <c r="M2" s="9"/>
      <c r="N2" s="9"/>
      <c r="O2" s="9"/>
      <c r="P2" s="9"/>
    </row>
    <row r="3" spans="1:17" ht="30">
      <c r="A3" s="112" t="s">
        <v>66</v>
      </c>
      <c r="B3" s="112"/>
      <c r="C3" s="112"/>
      <c r="D3" s="112"/>
      <c r="E3" s="112"/>
      <c r="F3" s="3"/>
      <c r="G3" s="3"/>
      <c r="H3" s="3"/>
      <c r="I3" s="3"/>
      <c r="J3" s="3"/>
      <c r="K3" s="3"/>
      <c r="L3" s="3"/>
      <c r="M3" s="3"/>
      <c r="N3" s="3"/>
      <c r="O3" s="3"/>
      <c r="P3" s="3"/>
    </row>
    <row r="4" spans="1:17" ht="15.6">
      <c r="A4" s="83"/>
      <c r="B4" s="82"/>
      <c r="C4" s="82"/>
      <c r="D4" s="82"/>
      <c r="E4" s="3"/>
      <c r="F4" s="3"/>
      <c r="G4" s="3"/>
      <c r="H4" s="3"/>
      <c r="I4" s="3"/>
      <c r="J4" s="3"/>
      <c r="K4" s="3"/>
      <c r="L4" s="3"/>
      <c r="M4" s="3"/>
      <c r="N4" s="3"/>
      <c r="O4" s="3"/>
      <c r="P4" s="3"/>
    </row>
    <row r="5" spans="1:17">
      <c r="A5" s="113" t="s">
        <v>33</v>
      </c>
      <c r="B5" s="114" t="s">
        <v>7</v>
      </c>
      <c r="C5" s="113" t="s">
        <v>34</v>
      </c>
      <c r="D5" s="113" t="s">
        <v>35</v>
      </c>
      <c r="E5" s="113" t="s">
        <v>36</v>
      </c>
      <c r="F5" s="113" t="s">
        <v>37</v>
      </c>
      <c r="G5" s="113" t="s">
        <v>38</v>
      </c>
      <c r="H5" s="113" t="s">
        <v>39</v>
      </c>
      <c r="I5" s="113" t="s">
        <v>40</v>
      </c>
      <c r="J5" s="113" t="s">
        <v>41</v>
      </c>
      <c r="K5" s="113" t="s">
        <v>42</v>
      </c>
      <c r="L5" s="113" t="s">
        <v>43</v>
      </c>
      <c r="M5" s="113" t="s">
        <v>44</v>
      </c>
      <c r="N5" s="113" t="s">
        <v>45</v>
      </c>
      <c r="O5" s="113" t="s">
        <v>46</v>
      </c>
      <c r="P5" s="113" t="s">
        <v>47</v>
      </c>
      <c r="Q5" s="52"/>
    </row>
    <row r="6" spans="1:17">
      <c r="A6" s="63" t="s">
        <v>86</v>
      </c>
      <c r="B6" s="213" t="s">
        <v>79</v>
      </c>
      <c r="C6" s="298">
        <v>91999901</v>
      </c>
      <c r="D6" s="297">
        <v>91999902</v>
      </c>
      <c r="E6" s="297">
        <v>91999903</v>
      </c>
      <c r="F6" s="298">
        <v>91999904</v>
      </c>
      <c r="G6" s="297">
        <v>91999905</v>
      </c>
      <c r="H6" s="299">
        <v>91999906</v>
      </c>
      <c r="I6" s="297">
        <v>91999907</v>
      </c>
      <c r="J6" s="297">
        <v>91999908</v>
      </c>
      <c r="K6" s="484">
        <v>91999909</v>
      </c>
      <c r="L6" s="297">
        <v>91999910</v>
      </c>
      <c r="M6" s="297">
        <v>91999911</v>
      </c>
      <c r="N6" s="298">
        <v>91999912</v>
      </c>
      <c r="O6" s="298">
        <v>91999913</v>
      </c>
      <c r="P6" s="299">
        <v>91999914</v>
      </c>
      <c r="Q6" s="197"/>
    </row>
    <row r="7" spans="1:17">
      <c r="A7" s="63" t="s">
        <v>86</v>
      </c>
      <c r="B7" s="53" t="s">
        <v>69</v>
      </c>
      <c r="C7" s="300">
        <v>43466</v>
      </c>
      <c r="D7" s="300">
        <v>43466</v>
      </c>
      <c r="E7" s="301">
        <v>43473</v>
      </c>
      <c r="F7" s="302">
        <v>43466</v>
      </c>
      <c r="G7" s="303">
        <v>43466</v>
      </c>
      <c r="H7" s="303">
        <v>43466</v>
      </c>
      <c r="I7" s="303">
        <v>43466</v>
      </c>
      <c r="J7" s="303">
        <v>43483</v>
      </c>
      <c r="K7" s="303">
        <v>43494</v>
      </c>
      <c r="L7" s="303">
        <v>43466</v>
      </c>
      <c r="M7" s="303">
        <v>43466</v>
      </c>
      <c r="N7" s="303">
        <v>43466</v>
      </c>
      <c r="O7" s="303">
        <v>43466</v>
      </c>
      <c r="P7" s="303">
        <v>43466</v>
      </c>
      <c r="Q7" s="303"/>
    </row>
    <row r="8" spans="1:17">
      <c r="A8" s="63" t="s">
        <v>83</v>
      </c>
      <c r="B8" s="53" t="s">
        <v>48</v>
      </c>
      <c r="C8" s="296" t="s">
        <v>429</v>
      </c>
      <c r="D8" s="296" t="s">
        <v>429</v>
      </c>
      <c r="E8" s="304" t="s">
        <v>429</v>
      </c>
      <c r="F8" s="305" t="s">
        <v>429</v>
      </c>
      <c r="G8" s="304" t="s">
        <v>429</v>
      </c>
      <c r="H8" s="304" t="s">
        <v>429</v>
      </c>
      <c r="I8" s="304" t="s">
        <v>429</v>
      </c>
      <c r="J8" s="304" t="s">
        <v>429</v>
      </c>
      <c r="K8" s="304" t="s">
        <v>429</v>
      </c>
      <c r="L8" s="304" t="s">
        <v>429</v>
      </c>
      <c r="M8" s="304" t="s">
        <v>429</v>
      </c>
      <c r="N8" s="304" t="s">
        <v>429</v>
      </c>
      <c r="O8" s="304" t="s">
        <v>429</v>
      </c>
      <c r="P8" s="304" t="s">
        <v>429</v>
      </c>
      <c r="Q8" s="52"/>
    </row>
    <row r="9" spans="1:17">
      <c r="A9" s="63" t="s">
        <v>83</v>
      </c>
      <c r="B9" s="54" t="s">
        <v>8</v>
      </c>
      <c r="C9" s="296" t="s">
        <v>408</v>
      </c>
      <c r="D9" s="296" t="s">
        <v>408</v>
      </c>
      <c r="E9" s="296" t="s">
        <v>408</v>
      </c>
      <c r="F9" s="296" t="s">
        <v>408</v>
      </c>
      <c r="G9" s="296" t="s">
        <v>408</v>
      </c>
      <c r="H9" s="296" t="s">
        <v>408</v>
      </c>
      <c r="I9" s="296" t="s">
        <v>408</v>
      </c>
      <c r="J9" s="296" t="s">
        <v>408</v>
      </c>
      <c r="K9" s="296" t="s">
        <v>408</v>
      </c>
      <c r="L9" s="296" t="s">
        <v>408</v>
      </c>
      <c r="M9" s="296" t="s">
        <v>408</v>
      </c>
      <c r="N9" s="296" t="s">
        <v>408</v>
      </c>
      <c r="O9" s="296" t="s">
        <v>408</v>
      </c>
      <c r="P9" s="296" t="s">
        <v>408</v>
      </c>
      <c r="Q9" s="52"/>
    </row>
    <row r="10" spans="1:17">
      <c r="A10" s="63" t="s">
        <v>83</v>
      </c>
      <c r="B10" s="55" t="s">
        <v>3</v>
      </c>
      <c r="C10" s="313" t="s">
        <v>1238</v>
      </c>
      <c r="D10" s="296" t="s">
        <v>640</v>
      </c>
      <c r="E10" s="306" t="s">
        <v>412</v>
      </c>
      <c r="F10" s="307" t="s">
        <v>412</v>
      </c>
      <c r="G10" s="295">
        <v>4</v>
      </c>
      <c r="H10" s="295" t="s">
        <v>416</v>
      </c>
      <c r="I10" s="295" t="s">
        <v>417</v>
      </c>
      <c r="J10" s="295" t="s">
        <v>418</v>
      </c>
      <c r="K10" s="295" t="s">
        <v>627</v>
      </c>
      <c r="L10" s="657" t="s">
        <v>1239</v>
      </c>
      <c r="M10" s="657" t="s">
        <v>1238</v>
      </c>
      <c r="N10" s="295">
        <v>3</v>
      </c>
      <c r="O10" s="295">
        <v>3</v>
      </c>
      <c r="P10" s="295" t="s">
        <v>416</v>
      </c>
      <c r="Q10" s="52"/>
    </row>
    <row r="11" spans="1:17">
      <c r="A11" s="63" t="s">
        <v>83</v>
      </c>
      <c r="B11" s="55" t="s">
        <v>9</v>
      </c>
      <c r="C11" s="296" t="s">
        <v>415</v>
      </c>
      <c r="D11" s="296" t="s">
        <v>409</v>
      </c>
      <c r="E11" s="306" t="s">
        <v>413</v>
      </c>
      <c r="F11" s="307" t="s">
        <v>414</v>
      </c>
      <c r="G11" s="295" t="s">
        <v>415</v>
      </c>
      <c r="H11" s="295" t="s">
        <v>409</v>
      </c>
      <c r="I11" s="295" t="s">
        <v>409</v>
      </c>
      <c r="J11" s="295" t="s">
        <v>419</v>
      </c>
      <c r="K11" s="295" t="s">
        <v>410</v>
      </c>
      <c r="L11" s="295" t="s">
        <v>409</v>
      </c>
      <c r="M11" s="307" t="s">
        <v>414</v>
      </c>
      <c r="N11" s="307" t="s">
        <v>410</v>
      </c>
      <c r="O11" s="307" t="s">
        <v>414</v>
      </c>
      <c r="P11" s="307" t="s">
        <v>414</v>
      </c>
      <c r="Q11" s="52"/>
    </row>
    <row r="12" spans="1:17">
      <c r="A12" s="63" t="s">
        <v>83</v>
      </c>
      <c r="B12" s="54" t="s">
        <v>10</v>
      </c>
      <c r="C12" s="10" t="s">
        <v>641</v>
      </c>
      <c r="D12" s="308" t="s">
        <v>446</v>
      </c>
      <c r="E12" s="218" t="s">
        <v>447</v>
      </c>
      <c r="F12" s="219" t="s">
        <v>450</v>
      </c>
      <c r="G12" s="309" t="s">
        <v>447</v>
      </c>
      <c r="H12" s="309" t="s">
        <v>447</v>
      </c>
      <c r="I12" s="309" t="s">
        <v>447</v>
      </c>
      <c r="J12" s="309" t="s">
        <v>448</v>
      </c>
      <c r="K12" s="309" t="s">
        <v>449</v>
      </c>
      <c r="L12" s="309" t="s">
        <v>450</v>
      </c>
      <c r="M12" s="309" t="s">
        <v>449</v>
      </c>
      <c r="N12" s="309" t="s">
        <v>449</v>
      </c>
      <c r="O12" s="309" t="s">
        <v>449</v>
      </c>
      <c r="P12" s="309" t="s">
        <v>449</v>
      </c>
      <c r="Q12" s="52"/>
    </row>
    <row r="13" spans="1:17">
      <c r="A13" s="63" t="s">
        <v>83</v>
      </c>
      <c r="B13" s="54" t="s">
        <v>11</v>
      </c>
      <c r="C13" s="218" t="s">
        <v>451</v>
      </c>
      <c r="D13" s="218" t="s">
        <v>451</v>
      </c>
      <c r="E13" s="218" t="s">
        <v>451</v>
      </c>
      <c r="F13" s="218" t="s">
        <v>451</v>
      </c>
      <c r="G13" s="218" t="s">
        <v>451</v>
      </c>
      <c r="H13" s="218" t="s">
        <v>451</v>
      </c>
      <c r="I13" s="218" t="s">
        <v>451</v>
      </c>
      <c r="J13" s="218" t="s">
        <v>451</v>
      </c>
      <c r="K13" s="218" t="s">
        <v>451</v>
      </c>
      <c r="L13" s="218" t="s">
        <v>451</v>
      </c>
      <c r="M13" s="218" t="s">
        <v>451</v>
      </c>
      <c r="N13" s="218" t="s">
        <v>451</v>
      </c>
      <c r="O13" s="218" t="s">
        <v>451</v>
      </c>
      <c r="P13" s="218" t="s">
        <v>451</v>
      </c>
      <c r="Q13" s="52"/>
    </row>
    <row r="14" spans="1:17">
      <c r="A14" s="63" t="s">
        <v>83</v>
      </c>
      <c r="B14" s="55" t="s">
        <v>12</v>
      </c>
      <c r="C14" s="63"/>
      <c r="D14" s="63"/>
      <c r="E14" s="70"/>
      <c r="F14" s="71"/>
      <c r="G14" s="67"/>
      <c r="H14" s="67"/>
      <c r="I14" s="67"/>
      <c r="J14" s="67"/>
      <c r="K14" s="67"/>
      <c r="L14" s="67"/>
      <c r="M14" s="67"/>
      <c r="N14" s="67"/>
      <c r="O14" s="67"/>
      <c r="P14" s="67"/>
      <c r="Q14" s="52"/>
    </row>
    <row r="15" spans="1:17">
      <c r="A15" s="63" t="s">
        <v>84</v>
      </c>
      <c r="B15" s="55" t="s">
        <v>13</v>
      </c>
      <c r="C15" s="63"/>
      <c r="D15" s="63"/>
      <c r="E15" s="70"/>
      <c r="F15" s="71"/>
      <c r="G15" s="67"/>
      <c r="H15" s="67"/>
      <c r="I15" s="67" t="s">
        <v>431</v>
      </c>
      <c r="J15" s="67"/>
      <c r="K15" s="67"/>
      <c r="L15" s="67"/>
      <c r="M15" s="67"/>
      <c r="N15" s="67"/>
      <c r="O15" s="67"/>
      <c r="P15" s="67"/>
      <c r="Q15" s="52"/>
    </row>
    <row r="16" spans="1:17">
      <c r="A16" s="63" t="s">
        <v>84</v>
      </c>
      <c r="B16" s="55" t="s">
        <v>14</v>
      </c>
      <c r="C16" s="220" t="s">
        <v>300</v>
      </c>
      <c r="D16" s="220" t="s">
        <v>301</v>
      </c>
      <c r="E16" s="218" t="s">
        <v>302</v>
      </c>
      <c r="F16" s="219" t="s">
        <v>303</v>
      </c>
      <c r="G16" s="221" t="s">
        <v>304</v>
      </c>
      <c r="H16" s="221" t="s">
        <v>305</v>
      </c>
      <c r="I16" s="221" t="s">
        <v>306</v>
      </c>
      <c r="J16" s="221" t="s">
        <v>307</v>
      </c>
      <c r="K16" s="221" t="s">
        <v>308</v>
      </c>
      <c r="L16" s="221" t="s">
        <v>309</v>
      </c>
      <c r="M16" s="221" t="s">
        <v>310</v>
      </c>
      <c r="N16" s="221" t="s">
        <v>311</v>
      </c>
      <c r="O16" s="221" t="s">
        <v>312</v>
      </c>
      <c r="P16" s="221" t="s">
        <v>313</v>
      </c>
      <c r="Q16" s="52"/>
    </row>
    <row r="17" spans="1:17">
      <c r="A17" s="63" t="s">
        <v>84</v>
      </c>
      <c r="B17" s="55" t="s">
        <v>15</v>
      </c>
      <c r="C17" s="220" t="s">
        <v>314</v>
      </c>
      <c r="D17" s="220" t="s">
        <v>315</v>
      </c>
      <c r="E17" s="218" t="s">
        <v>316</v>
      </c>
      <c r="F17" s="219" t="s">
        <v>317</v>
      </c>
      <c r="G17" s="221" t="s">
        <v>318</v>
      </c>
      <c r="H17" s="221" t="s">
        <v>319</v>
      </c>
      <c r="I17" s="221" t="s">
        <v>320</v>
      </c>
      <c r="J17" s="221" t="s">
        <v>321</v>
      </c>
      <c r="K17" s="221" t="s">
        <v>322</v>
      </c>
      <c r="L17" s="221" t="s">
        <v>323</v>
      </c>
      <c r="M17" s="221" t="s">
        <v>324</v>
      </c>
      <c r="N17" s="221" t="s">
        <v>325</v>
      </c>
      <c r="O17" s="221" t="s">
        <v>326</v>
      </c>
      <c r="P17" s="221" t="s">
        <v>327</v>
      </c>
      <c r="Q17" s="52"/>
    </row>
    <row r="18" spans="1:17">
      <c r="A18" s="63" t="s">
        <v>84</v>
      </c>
      <c r="B18" s="53" t="s">
        <v>87</v>
      </c>
      <c r="C18" s="215"/>
      <c r="D18" s="215"/>
      <c r="E18" s="217"/>
      <c r="F18" s="217"/>
      <c r="G18" s="217"/>
      <c r="H18" s="217"/>
      <c r="I18" s="216"/>
      <c r="J18" s="216"/>
      <c r="K18" s="216"/>
      <c r="L18" s="216"/>
      <c r="M18" s="216"/>
      <c r="N18" s="216"/>
      <c r="O18" s="216"/>
      <c r="P18" s="216"/>
      <c r="Q18" s="52"/>
    </row>
    <row r="19" spans="1:17">
      <c r="A19" s="63" t="s">
        <v>84</v>
      </c>
      <c r="B19" s="53" t="s">
        <v>88</v>
      </c>
      <c r="C19" s="63"/>
      <c r="D19" s="63"/>
      <c r="E19" s="68"/>
      <c r="F19" s="69"/>
      <c r="G19" s="67"/>
      <c r="H19" s="67"/>
      <c r="I19" s="67"/>
      <c r="J19" s="67"/>
      <c r="K19" s="67"/>
      <c r="L19" s="67"/>
      <c r="M19" s="67"/>
      <c r="N19" s="67"/>
      <c r="O19" s="67"/>
      <c r="P19" s="67"/>
      <c r="Q19" s="52"/>
    </row>
    <row r="20" spans="1:17">
      <c r="A20" s="63" t="s">
        <v>84</v>
      </c>
      <c r="B20" s="55" t="s">
        <v>16</v>
      </c>
      <c r="C20" s="63"/>
      <c r="D20" s="63"/>
      <c r="E20" s="70"/>
      <c r="F20" s="71"/>
      <c r="G20" s="67"/>
      <c r="H20" s="67"/>
      <c r="I20" s="67"/>
      <c r="J20" s="67"/>
      <c r="K20" s="67"/>
      <c r="L20" s="67"/>
      <c r="M20" s="67"/>
      <c r="N20" s="67"/>
      <c r="O20" s="67"/>
      <c r="P20" s="67"/>
      <c r="Q20" s="52"/>
    </row>
    <row r="21" spans="1:17">
      <c r="A21" s="10" t="s">
        <v>81</v>
      </c>
      <c r="B21" s="55" t="s">
        <v>82</v>
      </c>
      <c r="C21" s="63"/>
      <c r="D21" s="63"/>
      <c r="E21" s="70"/>
      <c r="F21" s="71"/>
      <c r="G21" s="67"/>
      <c r="H21" s="67"/>
      <c r="I21" s="67"/>
      <c r="J21" s="67"/>
      <c r="K21" s="67"/>
      <c r="L21" s="67"/>
      <c r="M21" s="67"/>
      <c r="N21" s="67"/>
      <c r="O21" s="67"/>
      <c r="P21" s="67"/>
      <c r="Q21" s="52"/>
    </row>
    <row r="22" spans="1:17">
      <c r="A22" s="313" t="s">
        <v>81</v>
      </c>
      <c r="B22" s="314" t="s">
        <v>80</v>
      </c>
      <c r="C22" s="63"/>
      <c r="D22" s="63"/>
      <c r="E22" s="70"/>
      <c r="F22" s="71"/>
      <c r="G22" s="67"/>
      <c r="H22" s="67"/>
      <c r="I22" s="67"/>
      <c r="J22" s="67"/>
      <c r="K22" s="67"/>
      <c r="L22" s="67"/>
      <c r="M22" s="67"/>
      <c r="N22" s="67"/>
      <c r="O22" s="67"/>
      <c r="P22" s="67"/>
      <c r="Q22" s="52"/>
    </row>
    <row r="23" spans="1:17">
      <c r="A23" s="313" t="s">
        <v>49</v>
      </c>
      <c r="B23" s="315" t="s">
        <v>17</v>
      </c>
      <c r="C23" s="294" t="s">
        <v>430</v>
      </c>
      <c r="D23" s="294" t="s">
        <v>1266</v>
      </c>
      <c r="E23" s="294" t="s">
        <v>430</v>
      </c>
      <c r="F23" s="294" t="s">
        <v>430</v>
      </c>
      <c r="G23" s="295" t="s">
        <v>644</v>
      </c>
      <c r="H23" s="294" t="s">
        <v>1267</v>
      </c>
      <c r="I23" s="294" t="s">
        <v>430</v>
      </c>
      <c r="J23" s="295" t="s">
        <v>645</v>
      </c>
      <c r="K23" s="295" t="s">
        <v>646</v>
      </c>
      <c r="L23" s="294" t="s">
        <v>430</v>
      </c>
      <c r="M23" s="294" t="s">
        <v>430</v>
      </c>
      <c r="N23" s="294" t="s">
        <v>430</v>
      </c>
      <c r="O23" s="294" t="s">
        <v>430</v>
      </c>
      <c r="P23" s="294" t="s">
        <v>1267</v>
      </c>
      <c r="Q23" s="52"/>
    </row>
    <row r="24" spans="1:17">
      <c r="A24" s="313" t="s">
        <v>49</v>
      </c>
      <c r="B24" s="315" t="s">
        <v>643</v>
      </c>
      <c r="C24" s="294">
        <v>8</v>
      </c>
      <c r="D24" s="294">
        <v>3.6</v>
      </c>
      <c r="E24" s="294">
        <v>8</v>
      </c>
      <c r="F24" s="294">
        <v>8</v>
      </c>
      <c r="G24" s="295">
        <v>6.4</v>
      </c>
      <c r="H24" s="294">
        <v>0</v>
      </c>
      <c r="I24" s="294">
        <v>4</v>
      </c>
      <c r="J24" s="295">
        <v>6</v>
      </c>
      <c r="K24" s="295">
        <v>2.4</v>
      </c>
      <c r="L24" s="294">
        <v>8</v>
      </c>
      <c r="M24" s="294">
        <v>8</v>
      </c>
      <c r="N24" s="294">
        <v>8</v>
      </c>
      <c r="O24" s="294">
        <v>8</v>
      </c>
      <c r="P24" s="679">
        <v>0</v>
      </c>
      <c r="Q24" s="197"/>
    </row>
    <row r="25" spans="1:17">
      <c r="A25" s="313" t="s">
        <v>49</v>
      </c>
      <c r="B25" s="316" t="s">
        <v>72</v>
      </c>
      <c r="C25" s="296">
        <v>9</v>
      </c>
      <c r="D25" s="296">
        <v>9</v>
      </c>
      <c r="E25" s="296">
        <v>9</v>
      </c>
      <c r="F25" s="296">
        <v>9</v>
      </c>
      <c r="G25" s="296">
        <v>9</v>
      </c>
      <c r="H25" s="296">
        <v>9</v>
      </c>
      <c r="I25" s="296">
        <v>9</v>
      </c>
      <c r="J25" s="296">
        <v>9</v>
      </c>
      <c r="K25" s="296">
        <v>9</v>
      </c>
      <c r="L25" s="296">
        <v>9</v>
      </c>
      <c r="M25" s="296">
        <v>9</v>
      </c>
      <c r="N25" s="296">
        <v>9</v>
      </c>
      <c r="O25" s="296">
        <v>9</v>
      </c>
      <c r="P25" s="680">
        <v>9</v>
      </c>
      <c r="Q25" s="197"/>
    </row>
    <row r="26" spans="1:17">
      <c r="A26" s="313" t="s">
        <v>49</v>
      </c>
      <c r="B26" s="316" t="s">
        <v>478</v>
      </c>
      <c r="C26" s="296">
        <v>100</v>
      </c>
      <c r="D26" s="296">
        <v>50</v>
      </c>
      <c r="E26" s="296">
        <v>100</v>
      </c>
      <c r="F26" s="296">
        <v>100</v>
      </c>
      <c r="G26" s="296">
        <v>100</v>
      </c>
      <c r="H26" s="296">
        <v>100</v>
      </c>
      <c r="I26" s="296">
        <v>50</v>
      </c>
      <c r="J26" s="296">
        <v>100</v>
      </c>
      <c r="K26" s="296">
        <v>50</v>
      </c>
      <c r="L26" s="296">
        <v>100</v>
      </c>
      <c r="M26" s="296">
        <v>100</v>
      </c>
      <c r="N26" s="296">
        <v>100</v>
      </c>
      <c r="O26" s="296">
        <v>100</v>
      </c>
      <c r="P26" s="680">
        <v>100</v>
      </c>
      <c r="Q26" s="197"/>
    </row>
    <row r="27" spans="1:17">
      <c r="A27" s="317" t="s">
        <v>298</v>
      </c>
      <c r="B27" s="318" t="s">
        <v>299</v>
      </c>
      <c r="C27" s="297" t="s">
        <v>1265</v>
      </c>
      <c r="D27" s="297" t="s">
        <v>265</v>
      </c>
      <c r="E27" s="297" t="s">
        <v>264</v>
      </c>
      <c r="F27" s="297" t="s">
        <v>263</v>
      </c>
      <c r="G27" s="297" t="s">
        <v>262</v>
      </c>
      <c r="H27" s="297" t="s">
        <v>261</v>
      </c>
      <c r="I27" s="297" t="s">
        <v>260</v>
      </c>
      <c r="J27" s="297" t="s">
        <v>259</v>
      </c>
      <c r="K27" s="297" t="s">
        <v>258</v>
      </c>
      <c r="L27" s="297" t="s">
        <v>257</v>
      </c>
      <c r="M27" s="297" t="s">
        <v>256</v>
      </c>
      <c r="N27" s="297" t="s">
        <v>255</v>
      </c>
      <c r="O27" s="297" t="s">
        <v>254</v>
      </c>
      <c r="P27" s="681" t="s">
        <v>253</v>
      </c>
      <c r="Q27" s="197"/>
    </row>
    <row r="28" spans="1:17">
      <c r="A28" s="313" t="s">
        <v>1</v>
      </c>
      <c r="B28" s="316" t="s">
        <v>452</v>
      </c>
      <c r="C28" s="296" t="s">
        <v>411</v>
      </c>
      <c r="D28" s="296" t="s">
        <v>411</v>
      </c>
      <c r="E28" s="296" t="s">
        <v>411</v>
      </c>
      <c r="F28" s="296" t="s">
        <v>411</v>
      </c>
      <c r="G28" s="296" t="s">
        <v>411</v>
      </c>
      <c r="H28" s="295" t="s">
        <v>420</v>
      </c>
      <c r="I28" s="295" t="s">
        <v>470</v>
      </c>
      <c r="J28" s="295" t="s">
        <v>470</v>
      </c>
      <c r="K28" s="295" t="s">
        <v>411</v>
      </c>
      <c r="L28" s="295" t="s">
        <v>411</v>
      </c>
      <c r="M28" s="295" t="s">
        <v>411</v>
      </c>
      <c r="N28" s="295" t="s">
        <v>411</v>
      </c>
      <c r="O28" s="295" t="s">
        <v>411</v>
      </c>
      <c r="P28" s="682" t="s">
        <v>411</v>
      </c>
      <c r="Q28" s="197"/>
    </row>
    <row r="29" spans="1:17" ht="27.6">
      <c r="A29" s="313" t="s">
        <v>1</v>
      </c>
      <c r="B29" s="316" t="s">
        <v>453</v>
      </c>
      <c r="C29" s="311" t="s">
        <v>454</v>
      </c>
      <c r="D29" s="311" t="s">
        <v>463</v>
      </c>
      <c r="E29" s="311" t="s">
        <v>458</v>
      </c>
      <c r="F29" s="311" t="s">
        <v>465</v>
      </c>
      <c r="G29" s="311" t="s">
        <v>460</v>
      </c>
      <c r="H29" s="311" t="s">
        <v>454</v>
      </c>
      <c r="I29" s="311" t="s">
        <v>456</v>
      </c>
      <c r="J29" s="321" t="s">
        <v>469</v>
      </c>
      <c r="K29" s="311" t="s">
        <v>463</v>
      </c>
      <c r="L29" s="312" t="s">
        <v>455</v>
      </c>
      <c r="M29" s="321" t="s">
        <v>459</v>
      </c>
      <c r="N29" s="311" t="s">
        <v>463</v>
      </c>
      <c r="O29" s="312" t="s">
        <v>455</v>
      </c>
      <c r="P29" s="683" t="s">
        <v>1278</v>
      </c>
      <c r="Q29" s="197"/>
    </row>
    <row r="30" spans="1:17">
      <c r="A30" s="313" t="s">
        <v>1</v>
      </c>
      <c r="B30" s="316" t="s">
        <v>457</v>
      </c>
      <c r="C30" s="311" t="s">
        <v>464</v>
      </c>
      <c r="D30" s="311" t="s">
        <v>467</v>
      </c>
      <c r="E30" s="311" t="s">
        <v>461</v>
      </c>
      <c r="F30" s="311" t="s">
        <v>466</v>
      </c>
      <c r="G30" s="311" t="s">
        <v>462</v>
      </c>
      <c r="H30" s="311" t="s">
        <v>1257</v>
      </c>
      <c r="I30" s="312" t="s">
        <v>471</v>
      </c>
      <c r="J30" s="312" t="s">
        <v>472</v>
      </c>
      <c r="K30" s="312" t="s">
        <v>713</v>
      </c>
      <c r="L30" s="312" t="s">
        <v>468</v>
      </c>
      <c r="M30" s="312" t="s">
        <v>473</v>
      </c>
      <c r="N30" s="312" t="s">
        <v>1258</v>
      </c>
      <c r="O30" s="312" t="s">
        <v>1277</v>
      </c>
      <c r="P30" s="312" t="s">
        <v>563</v>
      </c>
      <c r="Q30" s="52"/>
    </row>
    <row r="31" spans="1:17">
      <c r="A31" s="313" t="s">
        <v>1</v>
      </c>
      <c r="B31" s="319" t="s">
        <v>18</v>
      </c>
      <c r="C31" s="311" t="s">
        <v>474</v>
      </c>
      <c r="D31" s="311" t="s">
        <v>474</v>
      </c>
      <c r="E31" s="311" t="s">
        <v>474</v>
      </c>
      <c r="F31" s="311" t="s">
        <v>474</v>
      </c>
      <c r="G31" s="311" t="s">
        <v>474</v>
      </c>
      <c r="H31" s="311" t="s">
        <v>600</v>
      </c>
      <c r="I31" s="312" t="s">
        <v>474</v>
      </c>
      <c r="J31" s="312" t="s">
        <v>474</v>
      </c>
      <c r="K31" s="312" t="s">
        <v>474</v>
      </c>
      <c r="L31" s="312" t="s">
        <v>474</v>
      </c>
      <c r="M31" s="312" t="s">
        <v>474</v>
      </c>
      <c r="N31" s="312" t="s">
        <v>474</v>
      </c>
      <c r="O31" s="312" t="s">
        <v>474</v>
      </c>
      <c r="P31" s="312" t="s">
        <v>1259</v>
      </c>
      <c r="Q31" s="52"/>
    </row>
    <row r="32" spans="1:17">
      <c r="A32" s="313" t="s">
        <v>1</v>
      </c>
      <c r="B32" s="320" t="s">
        <v>19</v>
      </c>
      <c r="C32" s="75">
        <v>5000000</v>
      </c>
      <c r="D32" s="75">
        <v>4500000</v>
      </c>
      <c r="E32" s="328">
        <v>7000000</v>
      </c>
      <c r="F32" s="329">
        <v>9000000</v>
      </c>
      <c r="G32" s="330">
        <v>14000000</v>
      </c>
      <c r="H32" s="330">
        <v>200</v>
      </c>
      <c r="I32" s="330">
        <v>5000</v>
      </c>
      <c r="J32" s="330">
        <v>4000</v>
      </c>
      <c r="K32" s="330">
        <v>50000000</v>
      </c>
      <c r="L32" s="330">
        <v>8000000</v>
      </c>
      <c r="M32" s="330">
        <v>90000000</v>
      </c>
      <c r="N32" s="330">
        <v>5000000</v>
      </c>
      <c r="O32" s="330">
        <v>6500000</v>
      </c>
      <c r="P32" s="330">
        <v>800000</v>
      </c>
      <c r="Q32" s="52"/>
    </row>
    <row r="33" spans="1:23">
      <c r="A33" s="313" t="s">
        <v>1</v>
      </c>
      <c r="B33" s="319" t="s">
        <v>18</v>
      </c>
      <c r="C33" s="311" t="s">
        <v>528</v>
      </c>
      <c r="D33" s="311" t="s">
        <v>528</v>
      </c>
      <c r="E33" s="311" t="s">
        <v>528</v>
      </c>
      <c r="F33" s="311"/>
      <c r="G33" s="311"/>
      <c r="H33" s="311"/>
      <c r="I33" s="311" t="s">
        <v>601</v>
      </c>
      <c r="J33" s="311"/>
      <c r="K33" s="311" t="s">
        <v>529</v>
      </c>
      <c r="L33" s="311" t="s">
        <v>529</v>
      </c>
      <c r="M33" s="311"/>
      <c r="N33" s="311" t="s">
        <v>529</v>
      </c>
      <c r="O33" s="311" t="s">
        <v>529</v>
      </c>
      <c r="P33" s="311"/>
      <c r="Q33" s="52"/>
    </row>
    <row r="34" spans="1:23">
      <c r="A34" s="313" t="s">
        <v>1</v>
      </c>
      <c r="B34" s="320" t="s">
        <v>19</v>
      </c>
      <c r="C34" s="75">
        <v>500000</v>
      </c>
      <c r="D34" s="75">
        <v>450000</v>
      </c>
      <c r="E34" s="75">
        <v>700000</v>
      </c>
      <c r="F34" s="329"/>
      <c r="G34" s="330"/>
      <c r="H34" s="330"/>
      <c r="I34" s="330">
        <v>500</v>
      </c>
      <c r="J34" s="330"/>
      <c r="K34" s="330">
        <v>5000000</v>
      </c>
      <c r="L34" s="330">
        <v>800000</v>
      </c>
      <c r="M34" s="330"/>
      <c r="N34" s="330">
        <v>1000000</v>
      </c>
      <c r="O34" s="330">
        <v>1000000</v>
      </c>
      <c r="P34" s="330"/>
      <c r="Q34" s="52"/>
    </row>
    <row r="35" spans="1:23">
      <c r="A35" s="313" t="s">
        <v>1</v>
      </c>
      <c r="B35" s="319" t="s">
        <v>18</v>
      </c>
      <c r="C35" s="311" t="s">
        <v>570</v>
      </c>
      <c r="D35" s="311" t="s">
        <v>570</v>
      </c>
      <c r="E35" s="311" t="s">
        <v>570</v>
      </c>
      <c r="F35" s="311"/>
      <c r="G35" s="311"/>
      <c r="H35" s="311"/>
      <c r="I35" s="312" t="s">
        <v>602</v>
      </c>
      <c r="J35" s="312"/>
      <c r="K35" s="312" t="s">
        <v>570</v>
      </c>
      <c r="L35" s="312" t="s">
        <v>570</v>
      </c>
      <c r="M35" s="312"/>
      <c r="N35" s="312" t="s">
        <v>571</v>
      </c>
      <c r="O35" s="312" t="s">
        <v>571</v>
      </c>
      <c r="P35" s="312"/>
      <c r="Q35" s="52"/>
    </row>
    <row r="36" spans="1:23">
      <c r="A36" s="313" t="s">
        <v>1</v>
      </c>
      <c r="B36" s="320" t="s">
        <v>19</v>
      </c>
      <c r="C36" s="75">
        <v>1000000</v>
      </c>
      <c r="D36" s="75">
        <v>900000</v>
      </c>
      <c r="E36" s="75">
        <v>1400000</v>
      </c>
      <c r="F36" s="329"/>
      <c r="G36" s="330"/>
      <c r="H36" s="330"/>
      <c r="I36" s="330">
        <v>1000</v>
      </c>
      <c r="J36" s="330"/>
      <c r="K36" s="330">
        <v>10000000</v>
      </c>
      <c r="L36" s="330">
        <v>1600000</v>
      </c>
      <c r="M36" s="330"/>
      <c r="N36" s="330">
        <v>1500000</v>
      </c>
      <c r="O36" s="330">
        <v>1500000</v>
      </c>
      <c r="P36" s="330"/>
      <c r="Q36" s="52"/>
    </row>
    <row r="37" spans="1:23">
      <c r="A37" s="10" t="s">
        <v>50</v>
      </c>
      <c r="B37" s="56" t="s">
        <v>20</v>
      </c>
      <c r="C37" s="63"/>
      <c r="D37" s="63"/>
      <c r="E37" s="74"/>
      <c r="F37" s="73"/>
      <c r="G37" s="67"/>
      <c r="H37" s="67"/>
      <c r="I37" s="67"/>
      <c r="J37" s="67"/>
      <c r="K37" s="67"/>
      <c r="L37" s="67"/>
      <c r="M37" s="67"/>
      <c r="N37" s="67"/>
      <c r="O37" s="67"/>
      <c r="P37" s="67"/>
      <c r="Q37" s="52"/>
    </row>
    <row r="38" spans="1:23">
      <c r="A38" s="10" t="s">
        <v>50</v>
      </c>
      <c r="B38" s="56" t="s">
        <v>21</v>
      </c>
      <c r="C38" s="63"/>
      <c r="D38" s="63"/>
      <c r="E38" s="74"/>
      <c r="F38" s="73"/>
      <c r="G38" s="67"/>
      <c r="H38" s="67"/>
      <c r="I38" s="67"/>
      <c r="J38" s="67"/>
      <c r="K38" s="67"/>
      <c r="L38" s="67"/>
      <c r="M38" s="67"/>
      <c r="N38" s="67"/>
      <c r="O38" s="67"/>
      <c r="P38" s="67"/>
      <c r="Q38" s="52"/>
    </row>
    <row r="39" spans="1:23">
      <c r="A39" s="10" t="s">
        <v>50</v>
      </c>
      <c r="B39" s="56" t="s">
        <v>73</v>
      </c>
      <c r="C39" s="63" t="s">
        <v>482</v>
      </c>
      <c r="D39" s="63" t="s">
        <v>482</v>
      </c>
      <c r="E39" s="63" t="s">
        <v>482</v>
      </c>
      <c r="F39" s="63" t="s">
        <v>482</v>
      </c>
      <c r="G39" s="63" t="s">
        <v>482</v>
      </c>
      <c r="H39" s="63" t="s">
        <v>482</v>
      </c>
      <c r="I39" s="63" t="s">
        <v>482</v>
      </c>
      <c r="J39" s="63" t="s">
        <v>482</v>
      </c>
      <c r="K39" s="63" t="s">
        <v>482</v>
      </c>
      <c r="L39" s="63" t="s">
        <v>482</v>
      </c>
      <c r="M39" s="63" t="s">
        <v>482</v>
      </c>
      <c r="N39" s="63" t="s">
        <v>482</v>
      </c>
      <c r="O39" s="63" t="s">
        <v>482</v>
      </c>
      <c r="P39" s="63" t="s">
        <v>482</v>
      </c>
      <c r="Q39" s="52"/>
    </row>
    <row r="40" spans="1:23">
      <c r="A40" s="63" t="s">
        <v>85</v>
      </c>
      <c r="B40" s="58" t="s">
        <v>75</v>
      </c>
      <c r="C40" s="308" t="s">
        <v>440</v>
      </c>
      <c r="D40" s="308" t="s">
        <v>440</v>
      </c>
      <c r="E40" s="308" t="s">
        <v>440</v>
      </c>
      <c r="F40" s="308" t="s">
        <v>440</v>
      </c>
      <c r="G40" s="308" t="s">
        <v>440</v>
      </c>
      <c r="H40" s="308" t="s">
        <v>440</v>
      </c>
      <c r="I40" s="308" t="s">
        <v>440</v>
      </c>
      <c r="J40" s="308" t="s">
        <v>440</v>
      </c>
      <c r="K40" s="308" t="s">
        <v>440</v>
      </c>
      <c r="L40" s="308" t="s">
        <v>440</v>
      </c>
      <c r="M40" s="308" t="s">
        <v>440</v>
      </c>
      <c r="N40" s="308" t="s">
        <v>440</v>
      </c>
      <c r="O40" s="308" t="s">
        <v>440</v>
      </c>
      <c r="P40" s="308" t="s">
        <v>440</v>
      </c>
      <c r="Q40" s="583">
        <v>39814</v>
      </c>
    </row>
    <row r="41" spans="1:23">
      <c r="A41" s="63" t="s">
        <v>85</v>
      </c>
      <c r="B41" s="59" t="s">
        <v>22</v>
      </c>
      <c r="C41" s="310">
        <v>40057</v>
      </c>
      <c r="D41" s="310">
        <v>38749</v>
      </c>
      <c r="E41" s="310">
        <f>E7</f>
        <v>43473</v>
      </c>
      <c r="F41" s="310">
        <v>42128</v>
      </c>
      <c r="G41" s="310">
        <v>40057</v>
      </c>
      <c r="H41" s="310">
        <f>H7</f>
        <v>43466</v>
      </c>
      <c r="I41" s="310">
        <v>38231</v>
      </c>
      <c r="J41" s="310">
        <v>43483</v>
      </c>
      <c r="K41" s="310">
        <f>K7</f>
        <v>43494</v>
      </c>
      <c r="L41" s="310">
        <v>40071</v>
      </c>
      <c r="M41" s="310">
        <v>41896</v>
      </c>
      <c r="N41" s="310">
        <f>N7</f>
        <v>43466</v>
      </c>
      <c r="O41" s="310">
        <v>39448</v>
      </c>
      <c r="P41" s="310">
        <f>P7</f>
        <v>43466</v>
      </c>
      <c r="Q41" s="52"/>
    </row>
    <row r="42" spans="1:23">
      <c r="A42" s="63" t="s">
        <v>85</v>
      </c>
      <c r="B42" s="58" t="s">
        <v>74</v>
      </c>
      <c r="C42" s="308" t="s">
        <v>441</v>
      </c>
      <c r="D42" s="308" t="s">
        <v>441</v>
      </c>
      <c r="E42" s="308" t="s">
        <v>441</v>
      </c>
      <c r="F42" s="73" t="s">
        <v>441</v>
      </c>
      <c r="G42" s="309" t="s">
        <v>442</v>
      </c>
      <c r="H42" s="309" t="s">
        <v>441</v>
      </c>
      <c r="I42" s="309" t="s">
        <v>442</v>
      </c>
      <c r="J42" s="309" t="s">
        <v>441</v>
      </c>
      <c r="K42" s="309" t="s">
        <v>443</v>
      </c>
      <c r="L42" s="309" t="s">
        <v>441</v>
      </c>
      <c r="M42" s="309" t="s">
        <v>441</v>
      </c>
      <c r="N42" s="309" t="s">
        <v>441</v>
      </c>
      <c r="O42" s="309" t="s">
        <v>444</v>
      </c>
      <c r="P42" s="309" t="s">
        <v>441</v>
      </c>
      <c r="Q42" s="52"/>
    </row>
    <row r="43" spans="1:23">
      <c r="A43" s="63" t="s">
        <v>85</v>
      </c>
      <c r="B43" s="59" t="s">
        <v>76</v>
      </c>
      <c r="C43" s="310">
        <f>C41</f>
        <v>40057</v>
      </c>
      <c r="D43" s="310">
        <f t="shared" ref="D43:P43" si="0">D41</f>
        <v>38749</v>
      </c>
      <c r="E43" s="310">
        <f t="shared" si="0"/>
        <v>43473</v>
      </c>
      <c r="F43" s="310">
        <f t="shared" si="0"/>
        <v>42128</v>
      </c>
      <c r="G43" s="310">
        <f t="shared" si="0"/>
        <v>40057</v>
      </c>
      <c r="H43" s="310">
        <f t="shared" si="0"/>
        <v>43466</v>
      </c>
      <c r="I43" s="310">
        <f t="shared" si="0"/>
        <v>38231</v>
      </c>
      <c r="J43" s="310">
        <f t="shared" si="0"/>
        <v>43483</v>
      </c>
      <c r="K43" s="310">
        <f t="shared" si="0"/>
        <v>43494</v>
      </c>
      <c r="L43" s="310">
        <v>40071</v>
      </c>
      <c r="M43" s="310">
        <f t="shared" si="0"/>
        <v>41896</v>
      </c>
      <c r="N43" s="310">
        <f t="shared" si="0"/>
        <v>43466</v>
      </c>
      <c r="O43" s="310">
        <f t="shared" si="0"/>
        <v>39448</v>
      </c>
      <c r="P43" s="310">
        <f t="shared" si="0"/>
        <v>43466</v>
      </c>
      <c r="Q43" s="52"/>
    </row>
    <row r="44" spans="1:23">
      <c r="A44" s="63" t="s">
        <v>85</v>
      </c>
      <c r="B44" s="58" t="s">
        <v>77</v>
      </c>
      <c r="C44" s="308" t="s">
        <v>1268</v>
      </c>
      <c r="D44" s="308" t="s">
        <v>1268</v>
      </c>
      <c r="E44" s="308" t="s">
        <v>1268</v>
      </c>
      <c r="F44" s="308" t="s">
        <v>1268</v>
      </c>
      <c r="G44" s="308" t="s">
        <v>1268</v>
      </c>
      <c r="H44" s="308"/>
      <c r="I44" s="308" t="s">
        <v>1268</v>
      </c>
      <c r="J44" s="308"/>
      <c r="K44" s="308" t="s">
        <v>1268</v>
      </c>
      <c r="L44" s="308" t="s">
        <v>1268</v>
      </c>
      <c r="M44" s="308" t="s">
        <v>1268</v>
      </c>
      <c r="N44" s="308" t="s">
        <v>1268</v>
      </c>
      <c r="O44" s="308" t="s">
        <v>1268</v>
      </c>
      <c r="P44" s="308"/>
      <c r="Q44" s="52"/>
    </row>
    <row r="45" spans="1:23">
      <c r="A45" s="63" t="s">
        <v>85</v>
      </c>
      <c r="B45" s="59" t="s">
        <v>78</v>
      </c>
      <c r="C45" s="310">
        <v>41883</v>
      </c>
      <c r="D45" s="310">
        <v>42401</v>
      </c>
      <c r="E45" s="310">
        <v>45299</v>
      </c>
      <c r="F45" s="310">
        <v>43955</v>
      </c>
      <c r="G45" s="310">
        <v>41883</v>
      </c>
      <c r="H45" s="310"/>
      <c r="I45" s="310">
        <v>41883</v>
      </c>
      <c r="J45" s="310"/>
      <c r="K45" s="310">
        <v>45320</v>
      </c>
      <c r="L45" s="310">
        <v>41897</v>
      </c>
      <c r="M45" s="310">
        <v>43722</v>
      </c>
      <c r="N45" s="310">
        <v>45292</v>
      </c>
      <c r="O45" s="310">
        <v>43101</v>
      </c>
      <c r="P45" s="310"/>
      <c r="Q45" s="473"/>
      <c r="R45" s="472"/>
    </row>
    <row r="46" spans="1:23">
      <c r="A46" s="63" t="s">
        <v>85</v>
      </c>
      <c r="B46" s="58" t="s">
        <v>438</v>
      </c>
      <c r="C46" s="308"/>
      <c r="D46" s="308"/>
      <c r="E46" s="74" t="s">
        <v>445</v>
      </c>
      <c r="F46" s="73" t="s">
        <v>445</v>
      </c>
      <c r="G46" s="309"/>
      <c r="H46" s="309"/>
      <c r="I46" s="309"/>
      <c r="J46" s="309"/>
      <c r="K46" s="309" t="s">
        <v>648</v>
      </c>
      <c r="L46" s="309"/>
      <c r="M46" s="309"/>
      <c r="N46" s="309"/>
      <c r="O46" s="309"/>
      <c r="P46" s="309"/>
      <c r="Q46" s="473"/>
    </row>
    <row r="47" spans="1:23" s="9" customFormat="1" ht="12" customHeight="1">
      <c r="A47" s="63" t="s">
        <v>85</v>
      </c>
      <c r="B47" s="59" t="s">
        <v>439</v>
      </c>
      <c r="C47" s="310"/>
      <c r="D47" s="310"/>
      <c r="E47" s="310">
        <v>43623</v>
      </c>
      <c r="F47" s="310">
        <v>43830</v>
      </c>
      <c r="G47" s="310"/>
      <c r="H47" s="310"/>
      <c r="I47" s="310"/>
      <c r="J47" s="310"/>
      <c r="K47" s="310">
        <v>44224</v>
      </c>
      <c r="L47" s="310"/>
      <c r="M47" s="310"/>
      <c r="N47" s="310"/>
      <c r="O47" s="310"/>
      <c r="P47" s="310"/>
      <c r="Q47" s="87"/>
      <c r="R47" s="82"/>
      <c r="S47" s="88"/>
      <c r="T47" s="88"/>
      <c r="U47" s="88"/>
      <c r="V47" s="88"/>
      <c r="W47" s="88"/>
    </row>
    <row r="48" spans="1:23" s="9" customFormat="1" ht="12.75" customHeight="1">
      <c r="A48" s="10" t="s">
        <v>51</v>
      </c>
      <c r="B48" s="59" t="s">
        <v>89</v>
      </c>
      <c r="C48" s="63"/>
      <c r="D48" s="63"/>
      <c r="E48" s="76"/>
      <c r="F48" s="77"/>
      <c r="G48" s="67"/>
      <c r="H48" s="67"/>
      <c r="I48" s="67"/>
      <c r="J48" s="67"/>
      <c r="K48" s="67"/>
      <c r="L48" s="67"/>
      <c r="M48" s="67"/>
      <c r="N48" s="67"/>
      <c r="O48" s="67"/>
      <c r="P48" s="67"/>
      <c r="Q48" s="87"/>
      <c r="R48" s="82"/>
      <c r="S48" s="88"/>
      <c r="T48" s="88"/>
      <c r="U48" s="88"/>
      <c r="V48" s="88"/>
      <c r="W48" s="88"/>
    </row>
    <row r="49" spans="1:23" s="9" customFormat="1" ht="12.75" customHeight="1">
      <c r="A49" s="10" t="s">
        <v>51</v>
      </c>
      <c r="B49" s="56" t="s">
        <v>23</v>
      </c>
      <c r="C49" s="63"/>
      <c r="D49" s="63"/>
      <c r="E49" s="74"/>
      <c r="F49" s="78"/>
      <c r="G49" s="67"/>
      <c r="H49" s="67"/>
      <c r="I49" s="67"/>
      <c r="J49" s="67"/>
      <c r="K49" s="67"/>
      <c r="L49" s="67"/>
      <c r="M49" s="67"/>
      <c r="N49" s="67"/>
      <c r="O49" s="67"/>
      <c r="P49" s="67"/>
      <c r="Q49" s="87"/>
      <c r="R49" s="82"/>
      <c r="S49" s="88"/>
      <c r="T49" s="88"/>
      <c r="U49" s="88"/>
      <c r="V49" s="88"/>
      <c r="W49" s="88"/>
    </row>
    <row r="50" spans="1:23" s="9" customFormat="1" ht="12.75" customHeight="1">
      <c r="A50" s="96" t="s">
        <v>112</v>
      </c>
      <c r="B50" s="93" t="s">
        <v>107</v>
      </c>
      <c r="C50" s="63"/>
      <c r="D50" s="63"/>
      <c r="E50" s="74"/>
      <c r="F50" s="78"/>
      <c r="G50" s="67"/>
      <c r="H50" s="67"/>
      <c r="I50" s="67"/>
      <c r="J50" s="67"/>
      <c r="K50" s="67"/>
      <c r="L50" s="67"/>
      <c r="M50" s="67"/>
      <c r="N50" s="67"/>
      <c r="O50" s="67"/>
      <c r="P50" s="67"/>
      <c r="Q50" s="87"/>
      <c r="R50" s="82"/>
      <c r="S50" s="88"/>
      <c r="T50" s="88"/>
      <c r="U50" s="88"/>
      <c r="V50" s="88"/>
      <c r="W50" s="88"/>
    </row>
    <row r="51" spans="1:23" s="9" customFormat="1" ht="12.75" customHeight="1">
      <c r="A51" s="96">
        <v>9520</v>
      </c>
      <c r="B51" s="92" t="s">
        <v>557</v>
      </c>
      <c r="C51" s="308" t="s">
        <v>543</v>
      </c>
      <c r="D51" s="308" t="s">
        <v>543</v>
      </c>
      <c r="E51" s="308" t="s">
        <v>543</v>
      </c>
      <c r="F51" s="308" t="s">
        <v>543</v>
      </c>
      <c r="G51" s="308" t="s">
        <v>543</v>
      </c>
      <c r="H51" s="376" t="s">
        <v>543</v>
      </c>
      <c r="I51" s="376" t="s">
        <v>546</v>
      </c>
      <c r="J51" s="376" t="s">
        <v>546</v>
      </c>
      <c r="K51" s="376" t="s">
        <v>543</v>
      </c>
      <c r="L51" s="376" t="s">
        <v>543</v>
      </c>
      <c r="M51" s="376" t="s">
        <v>543</v>
      </c>
      <c r="N51" s="376" t="s">
        <v>543</v>
      </c>
      <c r="O51" s="376" t="s">
        <v>543</v>
      </c>
      <c r="P51" s="376" t="s">
        <v>543</v>
      </c>
      <c r="Q51" s="87"/>
      <c r="R51" s="82"/>
      <c r="S51" s="88"/>
      <c r="T51" s="88"/>
      <c r="U51" s="88"/>
      <c r="V51" s="88"/>
      <c r="W51" s="88"/>
    </row>
    <row r="52" spans="1:23">
      <c r="A52" s="96">
        <v>9520</v>
      </c>
      <c r="B52" s="94" t="s">
        <v>16</v>
      </c>
      <c r="C52" s="308" t="s">
        <v>543</v>
      </c>
      <c r="D52" s="308" t="s">
        <v>543</v>
      </c>
      <c r="E52" s="308" t="s">
        <v>543</v>
      </c>
      <c r="F52" s="308" t="s">
        <v>543</v>
      </c>
      <c r="G52" s="308" t="s">
        <v>543</v>
      </c>
      <c r="H52" s="308" t="s">
        <v>546</v>
      </c>
      <c r="I52" s="309" t="s">
        <v>562</v>
      </c>
      <c r="J52" s="309" t="s">
        <v>562</v>
      </c>
      <c r="K52" s="308" t="s">
        <v>543</v>
      </c>
      <c r="L52" s="308" t="s">
        <v>543</v>
      </c>
      <c r="M52" s="308" t="s">
        <v>543</v>
      </c>
      <c r="N52" s="308" t="s">
        <v>543</v>
      </c>
      <c r="O52" s="308" t="s">
        <v>543</v>
      </c>
      <c r="P52" s="308" t="s">
        <v>543</v>
      </c>
      <c r="Q52" s="52"/>
    </row>
    <row r="53" spans="1:23">
      <c r="A53" s="96">
        <v>9520</v>
      </c>
      <c r="B53" s="94" t="s">
        <v>556</v>
      </c>
      <c r="C53" s="308" t="s">
        <v>543</v>
      </c>
      <c r="D53" s="308" t="s">
        <v>543</v>
      </c>
      <c r="E53" s="308" t="s">
        <v>543</v>
      </c>
      <c r="F53" s="663" t="s">
        <v>547</v>
      </c>
      <c r="G53" s="663" t="s">
        <v>547</v>
      </c>
      <c r="H53" s="308" t="s">
        <v>543</v>
      </c>
      <c r="I53" s="309" t="s">
        <v>563</v>
      </c>
      <c r="J53" s="309" t="s">
        <v>563</v>
      </c>
      <c r="K53" s="308" t="s">
        <v>543</v>
      </c>
      <c r="L53" s="308" t="s">
        <v>543</v>
      </c>
      <c r="M53" s="308" t="s">
        <v>543</v>
      </c>
      <c r="N53" s="308" t="s">
        <v>543</v>
      </c>
      <c r="O53" s="308" t="s">
        <v>543</v>
      </c>
      <c r="P53" s="664" t="s">
        <v>1263</v>
      </c>
      <c r="Q53" s="52"/>
    </row>
    <row r="54" spans="1:23">
      <c r="A54" s="96">
        <v>9520</v>
      </c>
      <c r="B54" s="94" t="s">
        <v>558</v>
      </c>
      <c r="C54" s="63" t="s">
        <v>559</v>
      </c>
      <c r="D54" s="63" t="s">
        <v>559</v>
      </c>
      <c r="E54" s="63" t="s">
        <v>559</v>
      </c>
      <c r="F54" s="63" t="s">
        <v>560</v>
      </c>
      <c r="G54" s="63" t="s">
        <v>560</v>
      </c>
      <c r="H54" s="63" t="s">
        <v>561</v>
      </c>
      <c r="I54" s="67" t="s">
        <v>564</v>
      </c>
      <c r="J54" s="67" t="s">
        <v>564</v>
      </c>
      <c r="K54" s="63" t="s">
        <v>565</v>
      </c>
      <c r="L54" s="63" t="s">
        <v>565</v>
      </c>
      <c r="M54" s="63" t="s">
        <v>565</v>
      </c>
      <c r="N54" s="63" t="s">
        <v>565</v>
      </c>
      <c r="O54" s="63" t="s">
        <v>565</v>
      </c>
      <c r="P54" s="86" t="s">
        <v>560</v>
      </c>
      <c r="Q54" s="52"/>
    </row>
    <row r="55" spans="1:23">
      <c r="A55" s="96">
        <v>9521</v>
      </c>
      <c r="B55" s="95" t="s">
        <v>549</v>
      </c>
      <c r="C55" s="308" t="s">
        <v>543</v>
      </c>
      <c r="D55" s="308" t="s">
        <v>544</v>
      </c>
      <c r="E55" s="308" t="s">
        <v>545</v>
      </c>
      <c r="F55" s="308" t="s">
        <v>543</v>
      </c>
      <c r="G55" s="308"/>
      <c r="H55" s="308" t="s">
        <v>547</v>
      </c>
      <c r="I55" s="308" t="s">
        <v>546</v>
      </c>
      <c r="J55" s="308" t="s">
        <v>548</v>
      </c>
      <c r="K55" s="308" t="s">
        <v>440</v>
      </c>
      <c r="L55" s="308"/>
      <c r="M55" s="308" t="s">
        <v>440</v>
      </c>
      <c r="N55" s="308"/>
      <c r="O55" s="308"/>
      <c r="P55" s="376"/>
      <c r="Q55" s="52"/>
    </row>
    <row r="56" spans="1:23">
      <c r="A56" s="96">
        <v>9521</v>
      </c>
      <c r="B56" s="95" t="s">
        <v>550</v>
      </c>
      <c r="C56" s="377">
        <v>0.08</v>
      </c>
      <c r="D56" s="377">
        <v>0.08</v>
      </c>
      <c r="E56" s="377">
        <v>0</v>
      </c>
      <c r="F56" s="377">
        <v>0.08</v>
      </c>
      <c r="G56" s="377"/>
      <c r="H56" s="377">
        <v>0</v>
      </c>
      <c r="I56" s="377">
        <v>0</v>
      </c>
      <c r="J56" s="377">
        <v>0</v>
      </c>
      <c r="K56" s="377">
        <v>0.08</v>
      </c>
      <c r="L56" s="377"/>
      <c r="M56" s="377">
        <v>0.08</v>
      </c>
      <c r="N56" s="377"/>
      <c r="O56" s="377"/>
      <c r="P56" s="378"/>
      <c r="Q56" s="52"/>
    </row>
    <row r="57" spans="1:23">
      <c r="A57" s="96">
        <v>9521</v>
      </c>
      <c r="B57" s="95" t="s">
        <v>551</v>
      </c>
      <c r="C57" s="377">
        <v>0.17</v>
      </c>
      <c r="D57" s="377">
        <v>0.17499999999999999</v>
      </c>
      <c r="E57" s="377">
        <v>5.0000000000000001E-3</v>
      </c>
      <c r="F57" s="377">
        <v>0.17</v>
      </c>
      <c r="G57" s="377"/>
      <c r="H57" s="377">
        <v>3.5000000000000003E-2</v>
      </c>
      <c r="I57" s="377">
        <v>0.03</v>
      </c>
      <c r="J57" s="377">
        <v>5.0000000000000001E-3</v>
      </c>
      <c r="K57" s="377">
        <v>0.17</v>
      </c>
      <c r="L57" s="377"/>
      <c r="M57" s="377">
        <v>0.17</v>
      </c>
      <c r="N57" s="377"/>
      <c r="O57" s="377"/>
      <c r="P57" s="378"/>
      <c r="Q57" s="52"/>
    </row>
    <row r="58" spans="1:23">
      <c r="A58" s="96">
        <v>9521</v>
      </c>
      <c r="B58" s="95" t="s">
        <v>108</v>
      </c>
      <c r="C58" s="308" t="s">
        <v>543</v>
      </c>
      <c r="D58" s="308" t="s">
        <v>440</v>
      </c>
      <c r="E58" s="308" t="s">
        <v>440</v>
      </c>
      <c r="F58" s="308" t="s">
        <v>543</v>
      </c>
      <c r="G58" s="308"/>
      <c r="H58" s="308" t="s">
        <v>441</v>
      </c>
      <c r="I58" s="308" t="s">
        <v>546</v>
      </c>
      <c r="J58" s="308" t="s">
        <v>441</v>
      </c>
      <c r="K58" s="308" t="s">
        <v>440</v>
      </c>
      <c r="L58" s="308"/>
      <c r="M58" s="308" t="s">
        <v>440</v>
      </c>
      <c r="N58" s="308"/>
      <c r="O58" s="308"/>
      <c r="P58" s="376"/>
      <c r="Q58" s="52"/>
    </row>
    <row r="59" spans="1:23">
      <c r="A59" s="96">
        <v>9521</v>
      </c>
      <c r="B59" s="95" t="s">
        <v>552</v>
      </c>
      <c r="C59" s="377">
        <v>0.01</v>
      </c>
      <c r="D59" s="377">
        <v>0.01</v>
      </c>
      <c r="E59" s="377">
        <v>0.01</v>
      </c>
      <c r="F59" s="377">
        <v>0.01</v>
      </c>
      <c r="G59" s="377"/>
      <c r="H59" s="377">
        <v>0</v>
      </c>
      <c r="I59" s="377">
        <v>0</v>
      </c>
      <c r="J59" s="377">
        <v>0</v>
      </c>
      <c r="K59" s="377">
        <v>0.01</v>
      </c>
      <c r="L59" s="377"/>
      <c r="M59" s="377">
        <v>0.01</v>
      </c>
      <c r="N59" s="377"/>
      <c r="O59" s="377"/>
      <c r="P59" s="378"/>
      <c r="Q59" s="52"/>
    </row>
    <row r="60" spans="1:23">
      <c r="A60" s="96">
        <v>9521</v>
      </c>
      <c r="B60" s="95" t="s">
        <v>553</v>
      </c>
      <c r="C60" s="377">
        <v>0.01</v>
      </c>
      <c r="D60" s="377">
        <v>0.01</v>
      </c>
      <c r="E60" s="377">
        <v>0.01</v>
      </c>
      <c r="F60" s="377">
        <v>0.01</v>
      </c>
      <c r="G60" s="377"/>
      <c r="H60" s="377">
        <v>0</v>
      </c>
      <c r="I60" s="377">
        <v>0</v>
      </c>
      <c r="J60" s="377">
        <v>0</v>
      </c>
      <c r="K60" s="377">
        <v>0.01</v>
      </c>
      <c r="L60" s="377"/>
      <c r="M60" s="377">
        <v>0.01</v>
      </c>
      <c r="N60" s="377"/>
      <c r="O60" s="377"/>
      <c r="P60" s="378"/>
      <c r="Q60" s="52"/>
    </row>
    <row r="61" spans="1:23">
      <c r="A61" s="96">
        <v>9521</v>
      </c>
      <c r="B61" s="93" t="s">
        <v>109</v>
      </c>
      <c r="C61" s="308" t="s">
        <v>543</v>
      </c>
      <c r="D61" s="308" t="s">
        <v>440</v>
      </c>
      <c r="E61" s="308" t="s">
        <v>440</v>
      </c>
      <c r="F61" s="308" t="s">
        <v>543</v>
      </c>
      <c r="G61" s="308"/>
      <c r="H61" s="308" t="s">
        <v>441</v>
      </c>
      <c r="I61" s="308" t="s">
        <v>546</v>
      </c>
      <c r="J61" s="308" t="s">
        <v>441</v>
      </c>
      <c r="K61" s="308" t="s">
        <v>440</v>
      </c>
      <c r="L61" s="308"/>
      <c r="M61" s="308" t="s">
        <v>440</v>
      </c>
      <c r="N61" s="308"/>
      <c r="O61" s="308"/>
      <c r="P61" s="376"/>
      <c r="Q61" s="52"/>
    </row>
    <row r="62" spans="1:23">
      <c r="A62" s="96">
        <v>9521</v>
      </c>
      <c r="B62" s="95" t="s">
        <v>554</v>
      </c>
      <c r="C62" s="377">
        <v>1.4999999999999999E-2</v>
      </c>
      <c r="D62" s="377">
        <v>1.4999999999999999E-2</v>
      </c>
      <c r="E62" s="377">
        <v>1.4999999999999999E-2</v>
      </c>
      <c r="F62" s="377">
        <v>1.4999999999999999E-2</v>
      </c>
      <c r="G62" s="377"/>
      <c r="H62" s="377">
        <v>1.4999999999999999E-2</v>
      </c>
      <c r="I62" s="377">
        <v>1.4999999999999999E-2</v>
      </c>
      <c r="J62" s="377">
        <v>1.4999999999999999E-2</v>
      </c>
      <c r="K62" s="377">
        <v>1.4999999999999999E-2</v>
      </c>
      <c r="L62" s="377"/>
      <c r="M62" s="377">
        <v>1.4999999999999999E-2</v>
      </c>
      <c r="N62" s="377"/>
      <c r="O62" s="377"/>
      <c r="P62" s="378"/>
      <c r="Q62" s="52"/>
    </row>
    <row r="63" spans="1:23">
      <c r="A63" s="96">
        <v>9521</v>
      </c>
      <c r="B63" s="95" t="s">
        <v>555</v>
      </c>
      <c r="C63" s="377">
        <v>0.03</v>
      </c>
      <c r="D63" s="377">
        <v>0.03</v>
      </c>
      <c r="E63" s="377">
        <v>0.03</v>
      </c>
      <c r="F63" s="377">
        <v>0.03</v>
      </c>
      <c r="G63" s="377"/>
      <c r="H63" s="377">
        <v>0.03</v>
      </c>
      <c r="I63" s="377">
        <v>0.03</v>
      </c>
      <c r="J63" s="377">
        <v>0.03</v>
      </c>
      <c r="K63" s="377">
        <v>0.03</v>
      </c>
      <c r="L63" s="377"/>
      <c r="M63" s="377">
        <v>0.03</v>
      </c>
      <c r="N63" s="377"/>
      <c r="O63" s="377"/>
      <c r="P63" s="378"/>
      <c r="Q63" s="52"/>
    </row>
    <row r="64" spans="1:23">
      <c r="A64" s="63">
        <v>2006</v>
      </c>
      <c r="B64" s="57" t="s">
        <v>24</v>
      </c>
      <c r="C64" s="63">
        <v>50</v>
      </c>
      <c r="D64" s="63">
        <v>50</v>
      </c>
      <c r="E64" s="63">
        <v>50</v>
      </c>
      <c r="F64" s="63">
        <v>50</v>
      </c>
      <c r="G64" s="63">
        <v>50</v>
      </c>
      <c r="H64" s="63">
        <v>50</v>
      </c>
      <c r="I64" s="67">
        <v>50</v>
      </c>
      <c r="J64" s="67">
        <v>50</v>
      </c>
      <c r="K64" s="67">
        <v>50</v>
      </c>
      <c r="L64" s="67">
        <v>50</v>
      </c>
      <c r="M64" s="67">
        <v>50</v>
      </c>
      <c r="N64" s="67">
        <v>50</v>
      </c>
      <c r="O64" s="67">
        <v>50</v>
      </c>
      <c r="P64" s="67">
        <v>50</v>
      </c>
      <c r="Q64" s="52"/>
    </row>
    <row r="65" spans="1:17">
      <c r="A65" s="63">
        <v>2006</v>
      </c>
      <c r="B65" s="57" t="s">
        <v>642</v>
      </c>
      <c r="C65" s="678">
        <f>IF(OR(C10="S",C10="C"),0,IF(OR(C10=1,C10=3),ROUND(20*8*(_xlfn.DAYS(EOMONTH(C7,11),C7)+1)/365,2),ROUND(20*C24/365*(_xlfn.DAYS(EOMONTH(C7,11),C7)+1),2)))</f>
        <v>160</v>
      </c>
      <c r="D65" s="678">
        <f t="shared" ref="D65:P65" si="1">IF(OR(D10="S",D10="C"),0,IF(OR(D10=1,D10=3),ROUND(20*8*(_xlfn.DAYS(EOMONTH(D7,11),D7)+1)/365,2),ROUND(20*D24/365*(_xlfn.DAYS(EOMONTH(D7,11),D7)+1),2)))</f>
        <v>72</v>
      </c>
      <c r="E65" s="678">
        <f t="shared" si="1"/>
        <v>156.93</v>
      </c>
      <c r="F65" s="678">
        <f t="shared" si="1"/>
        <v>160</v>
      </c>
      <c r="G65" s="678">
        <f t="shared" si="1"/>
        <v>128</v>
      </c>
      <c r="H65" s="678">
        <f t="shared" si="1"/>
        <v>0</v>
      </c>
      <c r="I65" s="678">
        <f t="shared" si="1"/>
        <v>80</v>
      </c>
      <c r="J65" s="678">
        <f t="shared" si="1"/>
        <v>0</v>
      </c>
      <c r="K65" s="678">
        <f t="shared" si="1"/>
        <v>44.32</v>
      </c>
      <c r="L65" s="678">
        <f t="shared" si="1"/>
        <v>160</v>
      </c>
      <c r="M65" s="678">
        <f t="shared" si="1"/>
        <v>160</v>
      </c>
      <c r="N65" s="678">
        <f t="shared" si="1"/>
        <v>160</v>
      </c>
      <c r="O65" s="678">
        <f t="shared" si="1"/>
        <v>160</v>
      </c>
      <c r="P65" s="678">
        <f t="shared" si="1"/>
        <v>0</v>
      </c>
      <c r="Q65" s="52"/>
    </row>
    <row r="66" spans="1:17">
      <c r="A66" s="63">
        <v>2006</v>
      </c>
      <c r="B66" s="56" t="s">
        <v>25</v>
      </c>
      <c r="C66" s="310">
        <f t="shared" ref="C66:P66" si="2">C7</f>
        <v>43466</v>
      </c>
      <c r="D66" s="310">
        <f t="shared" si="2"/>
        <v>43466</v>
      </c>
      <c r="E66" s="310">
        <f t="shared" si="2"/>
        <v>43473</v>
      </c>
      <c r="F66" s="310">
        <f t="shared" si="2"/>
        <v>43466</v>
      </c>
      <c r="G66" s="310">
        <f t="shared" si="2"/>
        <v>43466</v>
      </c>
      <c r="H66" s="310">
        <f t="shared" si="2"/>
        <v>43466</v>
      </c>
      <c r="I66" s="310">
        <f t="shared" si="2"/>
        <v>43466</v>
      </c>
      <c r="J66" s="310">
        <f t="shared" si="2"/>
        <v>43483</v>
      </c>
      <c r="K66" s="310">
        <f t="shared" si="2"/>
        <v>43494</v>
      </c>
      <c r="L66" s="310">
        <f t="shared" si="2"/>
        <v>43466</v>
      </c>
      <c r="M66" s="310">
        <f t="shared" si="2"/>
        <v>43466</v>
      </c>
      <c r="N66" s="310">
        <f t="shared" si="2"/>
        <v>43466</v>
      </c>
      <c r="O66" s="310">
        <f t="shared" si="2"/>
        <v>43466</v>
      </c>
      <c r="P66" s="310">
        <f t="shared" si="2"/>
        <v>43466</v>
      </c>
      <c r="Q66" s="52"/>
    </row>
    <row r="67" spans="1:17">
      <c r="A67" s="63">
        <v>2006</v>
      </c>
      <c r="B67" s="56" t="s">
        <v>26</v>
      </c>
      <c r="C67" s="310">
        <f t="shared" ref="C67:P67" si="3">MIN(EOMONTH(C7,14),C47)</f>
        <v>43921</v>
      </c>
      <c r="D67" s="310">
        <f t="shared" si="3"/>
        <v>43921</v>
      </c>
      <c r="E67" s="310">
        <f t="shared" si="3"/>
        <v>43623</v>
      </c>
      <c r="F67" s="310">
        <f t="shared" si="3"/>
        <v>43830</v>
      </c>
      <c r="G67" s="310">
        <f t="shared" si="3"/>
        <v>43921</v>
      </c>
      <c r="H67" s="310">
        <f t="shared" si="3"/>
        <v>43921</v>
      </c>
      <c r="I67" s="310">
        <f t="shared" si="3"/>
        <v>43921</v>
      </c>
      <c r="J67" s="310">
        <f t="shared" si="3"/>
        <v>43921</v>
      </c>
      <c r="K67" s="310">
        <f t="shared" si="3"/>
        <v>43921</v>
      </c>
      <c r="L67" s="310">
        <f t="shared" si="3"/>
        <v>43921</v>
      </c>
      <c r="M67" s="310">
        <f t="shared" si="3"/>
        <v>43921</v>
      </c>
      <c r="N67" s="310">
        <f t="shared" si="3"/>
        <v>43921</v>
      </c>
      <c r="O67" s="310">
        <f t="shared" si="3"/>
        <v>43921</v>
      </c>
      <c r="P67" s="310">
        <f t="shared" si="3"/>
        <v>43921</v>
      </c>
      <c r="Q67" s="52"/>
    </row>
    <row r="68" spans="1:17">
      <c r="A68" s="63">
        <v>2006</v>
      </c>
      <c r="B68" s="57" t="s">
        <v>27</v>
      </c>
      <c r="C68" s="63">
        <v>60</v>
      </c>
      <c r="D68" s="63">
        <v>60</v>
      </c>
      <c r="E68" s="63">
        <v>60</v>
      </c>
      <c r="F68" s="63">
        <v>60</v>
      </c>
      <c r="G68" s="63">
        <v>60</v>
      </c>
      <c r="H68" s="63">
        <v>60</v>
      </c>
      <c r="I68" s="67">
        <v>60</v>
      </c>
      <c r="J68" s="67">
        <v>60</v>
      </c>
      <c r="K68" s="67">
        <v>60</v>
      </c>
      <c r="L68" s="67">
        <v>60</v>
      </c>
      <c r="M68" s="67">
        <v>60</v>
      </c>
      <c r="N68" s="67">
        <v>60</v>
      </c>
      <c r="O68" s="67">
        <v>60</v>
      </c>
      <c r="P68" s="67">
        <v>60</v>
      </c>
      <c r="Q68" s="52"/>
    </row>
    <row r="69" spans="1:17">
      <c r="A69" s="63">
        <v>2006</v>
      </c>
      <c r="B69" s="57" t="s">
        <v>647</v>
      </c>
      <c r="C69" s="678">
        <f>IF(OR(C10="S",C10="C"),0,IF(OR(C10=1,C10=3),ROUND(10*8*(_xlfn.DAYS(EOMONTH(C7,11),C7)+1)/365,2),ROUND(10*C24/365*(_xlfn.DAYS(EOMONTH(C7,11),C7)+1),2)))</f>
        <v>80</v>
      </c>
      <c r="D69" s="678">
        <f t="shared" ref="D69:P69" si="4">IF(OR(D10="S",D10="C"),0,IF(OR(D10=1,D10=3),ROUND(10*8*(_xlfn.DAYS(EOMONTH(D7,11),D7)+1)/365,2),ROUND(10*D24/365*(_xlfn.DAYS(EOMONTH(D7,11),D7)+1),2)))</f>
        <v>36</v>
      </c>
      <c r="E69" s="678">
        <f t="shared" si="4"/>
        <v>78.47</v>
      </c>
      <c r="F69" s="678">
        <f t="shared" si="4"/>
        <v>80</v>
      </c>
      <c r="G69" s="678">
        <f t="shared" si="4"/>
        <v>64</v>
      </c>
      <c r="H69" s="678">
        <f t="shared" si="4"/>
        <v>0</v>
      </c>
      <c r="I69" s="678">
        <f t="shared" si="4"/>
        <v>40</v>
      </c>
      <c r="J69" s="678">
        <f t="shared" si="4"/>
        <v>0</v>
      </c>
      <c r="K69" s="678">
        <f t="shared" si="4"/>
        <v>22.16</v>
      </c>
      <c r="L69" s="678">
        <f t="shared" si="4"/>
        <v>80</v>
      </c>
      <c r="M69" s="678">
        <f t="shared" si="4"/>
        <v>80</v>
      </c>
      <c r="N69" s="678">
        <f t="shared" si="4"/>
        <v>80</v>
      </c>
      <c r="O69" s="678">
        <f t="shared" si="4"/>
        <v>80</v>
      </c>
      <c r="P69" s="678">
        <f t="shared" si="4"/>
        <v>0</v>
      </c>
      <c r="Q69" s="52"/>
    </row>
    <row r="70" spans="1:17">
      <c r="A70" s="63">
        <v>2006</v>
      </c>
      <c r="B70" s="56" t="s">
        <v>28</v>
      </c>
      <c r="C70" s="310">
        <f t="shared" ref="C70:P70" si="5">C7</f>
        <v>43466</v>
      </c>
      <c r="D70" s="310">
        <f t="shared" si="5"/>
        <v>43466</v>
      </c>
      <c r="E70" s="310">
        <f t="shared" si="5"/>
        <v>43473</v>
      </c>
      <c r="F70" s="310">
        <f t="shared" si="5"/>
        <v>43466</v>
      </c>
      <c r="G70" s="310">
        <f t="shared" si="5"/>
        <v>43466</v>
      </c>
      <c r="H70" s="310">
        <f t="shared" si="5"/>
        <v>43466</v>
      </c>
      <c r="I70" s="310">
        <f t="shared" si="5"/>
        <v>43466</v>
      </c>
      <c r="J70" s="310">
        <f t="shared" si="5"/>
        <v>43483</v>
      </c>
      <c r="K70" s="310">
        <f t="shared" si="5"/>
        <v>43494</v>
      </c>
      <c r="L70" s="310">
        <f t="shared" si="5"/>
        <v>43466</v>
      </c>
      <c r="M70" s="310">
        <f t="shared" si="5"/>
        <v>43466</v>
      </c>
      <c r="N70" s="310">
        <f t="shared" si="5"/>
        <v>43466</v>
      </c>
      <c r="O70" s="310">
        <f t="shared" si="5"/>
        <v>43466</v>
      </c>
      <c r="P70" s="310">
        <f t="shared" si="5"/>
        <v>43466</v>
      </c>
      <c r="Q70" s="52"/>
    </row>
    <row r="71" spans="1:17">
      <c r="A71" s="63">
        <v>2006</v>
      </c>
      <c r="B71" s="56" t="s">
        <v>29</v>
      </c>
      <c r="C71" s="310">
        <f t="shared" ref="C71:P71" si="6">MIN(EOMONTH(C7,11),C47)</f>
        <v>43830</v>
      </c>
      <c r="D71" s="310">
        <f t="shared" si="6"/>
        <v>43830</v>
      </c>
      <c r="E71" s="310">
        <f t="shared" si="6"/>
        <v>43623</v>
      </c>
      <c r="F71" s="310">
        <f t="shared" si="6"/>
        <v>43830</v>
      </c>
      <c r="G71" s="310">
        <f t="shared" si="6"/>
        <v>43830</v>
      </c>
      <c r="H71" s="310">
        <f t="shared" si="6"/>
        <v>43830</v>
      </c>
      <c r="I71" s="310">
        <f t="shared" si="6"/>
        <v>43830</v>
      </c>
      <c r="J71" s="310">
        <f t="shared" si="6"/>
        <v>43830</v>
      </c>
      <c r="K71" s="310">
        <f t="shared" si="6"/>
        <v>43830</v>
      </c>
      <c r="L71" s="310">
        <f t="shared" si="6"/>
        <v>43830</v>
      </c>
      <c r="M71" s="310">
        <f t="shared" si="6"/>
        <v>43830</v>
      </c>
      <c r="N71" s="310">
        <f t="shared" si="6"/>
        <v>43830</v>
      </c>
      <c r="O71" s="310">
        <f t="shared" si="6"/>
        <v>43830</v>
      </c>
      <c r="P71" s="310">
        <f t="shared" si="6"/>
        <v>43830</v>
      </c>
      <c r="Q71" s="52"/>
    </row>
    <row r="72" spans="1:17">
      <c r="A72" s="63">
        <v>2006</v>
      </c>
      <c r="B72" s="57" t="s">
        <v>30</v>
      </c>
      <c r="C72" s="63">
        <v>70</v>
      </c>
      <c r="D72" s="63">
        <v>70</v>
      </c>
      <c r="E72" s="72">
        <v>70</v>
      </c>
      <c r="F72" s="71" t="s">
        <v>421</v>
      </c>
      <c r="G72" s="67">
        <v>70</v>
      </c>
      <c r="H72" s="67">
        <v>70</v>
      </c>
      <c r="I72" s="67">
        <v>70</v>
      </c>
      <c r="J72" s="67">
        <v>70</v>
      </c>
      <c r="K72" s="67">
        <v>70</v>
      </c>
      <c r="L72" s="67">
        <v>70</v>
      </c>
      <c r="M72" s="67">
        <v>70</v>
      </c>
      <c r="N72" s="67">
        <v>70</v>
      </c>
      <c r="O72" s="67">
        <v>70</v>
      </c>
      <c r="P72" s="67">
        <v>70</v>
      </c>
      <c r="Q72" s="52"/>
    </row>
    <row r="73" spans="1:17">
      <c r="A73" s="63">
        <v>2006</v>
      </c>
      <c r="B73" s="56" t="s">
        <v>31</v>
      </c>
      <c r="C73" s="4"/>
      <c r="D73" s="310">
        <f>D45</f>
        <v>42401</v>
      </c>
      <c r="E73" s="310"/>
      <c r="F73" s="310"/>
      <c r="G73" s="310">
        <v>43647</v>
      </c>
      <c r="H73" s="310"/>
      <c r="I73" s="310"/>
      <c r="J73" s="310"/>
      <c r="K73" s="310"/>
      <c r="L73" s="310"/>
      <c r="M73" s="310"/>
      <c r="N73" s="310"/>
      <c r="O73" s="310"/>
      <c r="P73" s="310"/>
      <c r="Q73" s="52"/>
    </row>
    <row r="74" spans="1:17">
      <c r="A74" s="63">
        <v>2006</v>
      </c>
      <c r="B74" s="56" t="s">
        <v>32</v>
      </c>
      <c r="C74" s="4"/>
      <c r="D74" s="310">
        <v>2958465</v>
      </c>
      <c r="E74" s="310"/>
      <c r="F74" s="310"/>
      <c r="G74" s="310">
        <v>2958465</v>
      </c>
      <c r="H74" s="310"/>
      <c r="I74" s="310"/>
      <c r="J74" s="310"/>
      <c r="K74" s="310"/>
      <c r="L74" s="310"/>
      <c r="M74" s="310"/>
      <c r="N74" s="310"/>
      <c r="O74" s="310"/>
      <c r="P74" s="310"/>
      <c r="Q74" s="471"/>
    </row>
    <row r="75" spans="1:17">
      <c r="A75" s="63">
        <v>2006</v>
      </c>
      <c r="B75" s="57" t="s">
        <v>826</v>
      </c>
      <c r="C75" s="63">
        <v>71</v>
      </c>
      <c r="D75" s="63">
        <v>71</v>
      </c>
      <c r="E75" s="72">
        <v>71</v>
      </c>
      <c r="F75" s="219" t="s">
        <v>422</v>
      </c>
      <c r="G75" s="67">
        <v>71</v>
      </c>
      <c r="H75" s="67"/>
      <c r="I75" s="67">
        <v>71</v>
      </c>
      <c r="J75" s="67">
        <v>71</v>
      </c>
      <c r="K75" s="67">
        <v>71</v>
      </c>
      <c r="L75" s="67">
        <v>71</v>
      </c>
      <c r="M75" s="67">
        <v>71</v>
      </c>
      <c r="N75" s="67">
        <v>71</v>
      </c>
      <c r="O75" s="67">
        <v>71</v>
      </c>
      <c r="P75" s="67"/>
      <c r="Q75" s="52"/>
    </row>
    <row r="76" spans="1:17">
      <c r="A76" s="63">
        <v>2006</v>
      </c>
      <c r="B76" s="56" t="s">
        <v>827</v>
      </c>
      <c r="C76" s="310">
        <v>43466</v>
      </c>
      <c r="D76" s="310"/>
      <c r="E76" s="310"/>
      <c r="F76" s="310"/>
      <c r="G76" s="310"/>
      <c r="H76" s="310"/>
      <c r="I76" s="310"/>
      <c r="J76" s="310"/>
      <c r="K76" s="310"/>
      <c r="L76" s="310">
        <v>43469</v>
      </c>
      <c r="M76" s="310"/>
      <c r="N76" s="310"/>
      <c r="O76" s="310"/>
      <c r="P76" s="310"/>
      <c r="Q76" s="52"/>
    </row>
    <row r="77" spans="1:17">
      <c r="A77" s="63">
        <v>2006</v>
      </c>
      <c r="B77" s="56" t="s">
        <v>828</v>
      </c>
      <c r="C77" s="310">
        <v>43830</v>
      </c>
      <c r="D77" s="310"/>
      <c r="E77" s="310"/>
      <c r="F77" s="310"/>
      <c r="G77" s="310"/>
      <c r="H77" s="310"/>
      <c r="I77" s="310"/>
      <c r="J77" s="310"/>
      <c r="K77" s="310"/>
      <c r="L77" s="310">
        <v>43833</v>
      </c>
      <c r="M77" s="310"/>
      <c r="N77" s="310"/>
      <c r="O77" s="310"/>
      <c r="P77" s="310"/>
      <c r="Q77" s="475"/>
    </row>
    <row r="78" spans="1:17">
      <c r="A78" s="214">
        <v>2012</v>
      </c>
      <c r="B78" s="3" t="s">
        <v>649</v>
      </c>
      <c r="G78" s="4">
        <v>1</v>
      </c>
      <c r="Q78" s="476"/>
    </row>
    <row r="79" spans="1:17">
      <c r="A79" s="214">
        <v>2012</v>
      </c>
      <c r="B79" s="3" t="s">
        <v>670</v>
      </c>
      <c r="E79" s="3"/>
      <c r="F79" s="3"/>
      <c r="G79" s="3"/>
      <c r="H79" s="3"/>
      <c r="I79" s="3"/>
      <c r="J79" s="3"/>
      <c r="K79" s="3"/>
      <c r="L79" s="3"/>
      <c r="M79" s="3"/>
      <c r="N79" s="3"/>
      <c r="O79" s="3"/>
      <c r="P79" s="3"/>
    </row>
    <row r="80" spans="1:17">
      <c r="A80" s="214">
        <v>2012</v>
      </c>
      <c r="B80" s="3" t="s">
        <v>659</v>
      </c>
      <c r="C80" s="544">
        <v>1675</v>
      </c>
      <c r="D80" s="544"/>
      <c r="E80" s="544"/>
      <c r="F80" s="544"/>
      <c r="G80" s="544">
        <v>1826</v>
      </c>
      <c r="H80" s="544"/>
      <c r="I80" s="544">
        <v>1826</v>
      </c>
      <c r="J80" s="544"/>
      <c r="K80" s="544"/>
      <c r="L80" s="544">
        <v>1826</v>
      </c>
      <c r="M80" s="544">
        <v>1461</v>
      </c>
      <c r="N80" s="544"/>
      <c r="O80" s="544"/>
      <c r="P80" s="544"/>
    </row>
    <row r="81" spans="1:16">
      <c r="A81" s="214">
        <v>2012</v>
      </c>
      <c r="B81" s="3" t="s">
        <v>660</v>
      </c>
      <c r="C81" s="3">
        <v>18</v>
      </c>
      <c r="E81" s="3"/>
      <c r="F81" s="3"/>
      <c r="G81" s="3">
        <v>0</v>
      </c>
      <c r="H81" s="3"/>
      <c r="I81" s="3">
        <v>0</v>
      </c>
      <c r="J81" s="3"/>
      <c r="K81" s="3"/>
      <c r="L81" s="3">
        <v>0</v>
      </c>
      <c r="M81" s="3">
        <v>0</v>
      </c>
      <c r="N81" s="3"/>
      <c r="O81" s="3"/>
      <c r="P81" s="3"/>
    </row>
    <row r="82" spans="1:16">
      <c r="A82" s="214">
        <v>2012</v>
      </c>
      <c r="B82" s="3" t="s">
        <v>661</v>
      </c>
      <c r="C82" s="3">
        <v>100</v>
      </c>
      <c r="E82" s="3"/>
      <c r="F82" s="3"/>
      <c r="G82" s="3">
        <v>100</v>
      </c>
      <c r="H82" s="3"/>
      <c r="I82" s="3">
        <v>100</v>
      </c>
      <c r="J82" s="3"/>
      <c r="K82" s="3"/>
      <c r="L82" s="3">
        <v>100</v>
      </c>
      <c r="M82" s="3">
        <v>100</v>
      </c>
      <c r="N82" s="3"/>
      <c r="O82" s="3"/>
      <c r="P82" s="3"/>
    </row>
    <row r="83" spans="1:16">
      <c r="A83" s="214">
        <v>2012</v>
      </c>
      <c r="B83" s="3" t="s">
        <v>662</v>
      </c>
      <c r="C83" s="544"/>
      <c r="D83" s="544"/>
      <c r="E83" s="544"/>
      <c r="F83" s="544"/>
      <c r="G83" s="544">
        <v>1218</v>
      </c>
      <c r="H83" s="544"/>
      <c r="I83" s="544"/>
      <c r="J83" s="544"/>
      <c r="K83" s="544"/>
      <c r="L83" s="544"/>
      <c r="M83" s="544">
        <v>365</v>
      </c>
      <c r="N83" s="544"/>
      <c r="O83" s="544"/>
      <c r="P83" s="544"/>
    </row>
    <row r="84" spans="1:16">
      <c r="A84" s="214">
        <v>2012</v>
      </c>
      <c r="B84" s="3" t="s">
        <v>663</v>
      </c>
      <c r="E84" s="3"/>
      <c r="F84" s="3"/>
      <c r="G84" s="3">
        <v>14</v>
      </c>
      <c r="H84" s="3"/>
      <c r="I84" s="3"/>
      <c r="J84" s="3"/>
      <c r="K84" s="3"/>
      <c r="L84" s="3"/>
      <c r="M84" s="3">
        <v>0</v>
      </c>
      <c r="N84" s="3"/>
      <c r="O84" s="3"/>
      <c r="P84" s="3"/>
    </row>
    <row r="85" spans="1:16">
      <c r="A85" s="214">
        <v>2012</v>
      </c>
      <c r="B85" s="3" t="s">
        <v>664</v>
      </c>
      <c r="E85" s="3"/>
      <c r="F85" s="3"/>
      <c r="G85" s="3">
        <v>100</v>
      </c>
      <c r="H85" s="3"/>
      <c r="I85" s="3"/>
      <c r="J85" s="3"/>
      <c r="K85" s="3"/>
      <c r="L85" s="3"/>
      <c r="M85" s="3">
        <v>50</v>
      </c>
      <c r="N85" s="3"/>
      <c r="O85" s="3"/>
      <c r="P85" s="3"/>
    </row>
    <row r="86" spans="1:16">
      <c r="A86" s="214">
        <v>2012</v>
      </c>
      <c r="B86" s="3" t="s">
        <v>838</v>
      </c>
      <c r="C86" s="544"/>
      <c r="D86" s="544"/>
      <c r="E86" s="544"/>
      <c r="F86" s="544"/>
      <c r="G86" s="544">
        <v>365</v>
      </c>
      <c r="H86" s="544"/>
      <c r="I86" s="544"/>
      <c r="J86" s="544"/>
      <c r="K86" s="544"/>
      <c r="L86" s="544"/>
      <c r="M86" s="544"/>
      <c r="N86" s="544"/>
      <c r="O86" s="544"/>
      <c r="P86" s="544"/>
    </row>
    <row r="87" spans="1:16">
      <c r="A87" s="214">
        <v>2012</v>
      </c>
      <c r="B87" s="3" t="s">
        <v>839</v>
      </c>
      <c r="E87" s="3"/>
      <c r="F87" s="3"/>
      <c r="G87" s="3">
        <v>0</v>
      </c>
      <c r="H87" s="3"/>
      <c r="I87" s="3"/>
      <c r="J87" s="3"/>
      <c r="K87" s="3"/>
      <c r="L87" s="3"/>
      <c r="M87" s="3"/>
      <c r="N87" s="3"/>
      <c r="O87" s="3"/>
      <c r="P87" s="3"/>
    </row>
    <row r="88" spans="1:16">
      <c r="A88" s="214">
        <v>2012</v>
      </c>
      <c r="B88" s="3" t="s">
        <v>840</v>
      </c>
      <c r="E88" s="3"/>
      <c r="F88" s="3"/>
      <c r="G88" s="3">
        <v>50</v>
      </c>
      <c r="H88" s="3"/>
      <c r="I88" s="3"/>
      <c r="J88" s="3"/>
      <c r="K88" s="3"/>
      <c r="L88" s="3"/>
      <c r="M88" s="3"/>
      <c r="N88" s="3"/>
      <c r="O88" s="3"/>
      <c r="P88" s="3"/>
    </row>
    <row r="90" spans="1:16" ht="36.6" customHeight="1">
      <c r="A90" s="719" t="s">
        <v>935</v>
      </c>
      <c r="B90" s="719"/>
      <c r="C90" s="719"/>
      <c r="D90" s="719"/>
      <c r="E90" s="719"/>
      <c r="F90" s="719"/>
      <c r="G90" s="719"/>
      <c r="H90" s="719"/>
      <c r="I90" s="719"/>
      <c r="J90" s="719"/>
      <c r="K90" s="719"/>
      <c r="L90" s="719"/>
      <c r="M90" s="719"/>
      <c r="N90" s="719"/>
      <c r="O90" s="719"/>
      <c r="P90" s="719"/>
    </row>
    <row r="91" spans="1:16">
      <c r="A91" s="113" t="s">
        <v>33</v>
      </c>
      <c r="B91" s="114" t="s">
        <v>7</v>
      </c>
      <c r="C91" s="113" t="s">
        <v>34</v>
      </c>
      <c r="D91" s="113"/>
      <c r="E91" s="113" t="s">
        <v>36</v>
      </c>
      <c r="F91" s="113"/>
      <c r="G91" s="113" t="s">
        <v>38</v>
      </c>
      <c r="H91" s="113" t="s">
        <v>39</v>
      </c>
      <c r="I91" s="113"/>
      <c r="J91" s="113" t="s">
        <v>41</v>
      </c>
      <c r="K91" s="113" t="s">
        <v>42</v>
      </c>
      <c r="L91" s="113" t="s">
        <v>43</v>
      </c>
      <c r="M91" s="113" t="s">
        <v>44</v>
      </c>
      <c r="N91" s="113" t="s">
        <v>45</v>
      </c>
      <c r="O91" s="113"/>
      <c r="P91" s="113" t="s">
        <v>47</v>
      </c>
    </row>
    <row r="92" spans="1:16">
      <c r="A92" s="63" t="s">
        <v>86</v>
      </c>
      <c r="B92" s="213" t="s">
        <v>79</v>
      </c>
      <c r="C92" s="298">
        <v>91999901</v>
      </c>
      <c r="D92" s="297"/>
      <c r="E92" s="297">
        <v>91999903</v>
      </c>
      <c r="F92" s="298"/>
      <c r="G92" s="297">
        <v>91999905</v>
      </c>
      <c r="H92" s="299">
        <v>91999906</v>
      </c>
      <c r="I92" s="297"/>
      <c r="J92" s="297">
        <v>91999908</v>
      </c>
      <c r="K92" s="484">
        <v>91999909</v>
      </c>
      <c r="L92" s="297">
        <v>91999910</v>
      </c>
      <c r="M92" s="297">
        <v>91999911</v>
      </c>
      <c r="N92" s="298">
        <v>91999912</v>
      </c>
      <c r="O92" s="298"/>
      <c r="P92" s="299">
        <v>91999914</v>
      </c>
    </row>
    <row r="93" spans="1:16">
      <c r="A93" s="63" t="s">
        <v>86</v>
      </c>
      <c r="B93" s="213" t="s">
        <v>69</v>
      </c>
      <c r="C93" s="300">
        <v>43831</v>
      </c>
      <c r="D93" s="300"/>
      <c r="E93" s="300">
        <v>43739</v>
      </c>
      <c r="F93" s="300"/>
      <c r="G93" s="300">
        <v>43831</v>
      </c>
      <c r="H93" s="300">
        <v>43831</v>
      </c>
      <c r="I93" s="300"/>
      <c r="J93" s="300">
        <v>43831</v>
      </c>
      <c r="K93" s="300">
        <v>43831</v>
      </c>
      <c r="L93" s="300">
        <v>43831</v>
      </c>
      <c r="M93" s="300">
        <v>43831</v>
      </c>
      <c r="N93" s="300">
        <v>43831</v>
      </c>
      <c r="O93" s="300"/>
      <c r="P93" s="300">
        <v>43831</v>
      </c>
    </row>
    <row r="94" spans="1:16">
      <c r="A94" s="63" t="s">
        <v>83</v>
      </c>
      <c r="B94" s="55" t="s">
        <v>3</v>
      </c>
      <c r="C94" s="296">
        <v>1</v>
      </c>
      <c r="D94" s="296"/>
      <c r="E94" s="306" t="s">
        <v>412</v>
      </c>
      <c r="F94" s="307"/>
      <c r="G94" s="295">
        <v>4</v>
      </c>
      <c r="H94" s="295" t="s">
        <v>416</v>
      </c>
      <c r="I94" s="295"/>
      <c r="J94" s="295" t="s">
        <v>418</v>
      </c>
      <c r="K94" s="295" t="s">
        <v>627</v>
      </c>
      <c r="L94" s="295">
        <v>1</v>
      </c>
      <c r="M94" s="295">
        <v>1</v>
      </c>
      <c r="N94" s="295">
        <v>3</v>
      </c>
      <c r="O94" s="295"/>
      <c r="P94" s="295" t="s">
        <v>416</v>
      </c>
    </row>
    <row r="95" spans="1:16">
      <c r="A95" s="313" t="s">
        <v>49</v>
      </c>
      <c r="B95" s="315" t="s">
        <v>17</v>
      </c>
      <c r="C95" s="294" t="s">
        <v>430</v>
      </c>
      <c r="D95" s="294"/>
      <c r="E95" s="294" t="s">
        <v>430</v>
      </c>
      <c r="F95" s="294"/>
      <c r="G95" s="295" t="s">
        <v>644</v>
      </c>
      <c r="H95" s="294" t="s">
        <v>428</v>
      </c>
      <c r="I95" s="294"/>
      <c r="J95" s="295" t="s">
        <v>645</v>
      </c>
      <c r="K95" s="295" t="s">
        <v>646</v>
      </c>
      <c r="L95" s="294" t="s">
        <v>430</v>
      </c>
      <c r="M95" s="294" t="s">
        <v>430</v>
      </c>
      <c r="N95" s="294" t="s">
        <v>430</v>
      </c>
      <c r="O95" s="294"/>
      <c r="P95" s="294" t="s">
        <v>428</v>
      </c>
    </row>
    <row r="96" spans="1:16">
      <c r="A96" s="313" t="s">
        <v>49</v>
      </c>
      <c r="B96" s="315" t="s">
        <v>643</v>
      </c>
      <c r="C96" s="294">
        <v>8</v>
      </c>
      <c r="D96" s="294"/>
      <c r="E96" s="294">
        <v>8</v>
      </c>
      <c r="F96" s="294"/>
      <c r="G96" s="295">
        <v>6.4</v>
      </c>
      <c r="H96" s="294">
        <v>0</v>
      </c>
      <c r="I96" s="294"/>
      <c r="J96" s="295">
        <v>6</v>
      </c>
      <c r="K96" s="295">
        <v>4.8</v>
      </c>
      <c r="L96" s="294">
        <v>8</v>
      </c>
      <c r="M96" s="294">
        <v>8</v>
      </c>
      <c r="N96" s="294">
        <v>8</v>
      </c>
      <c r="O96" s="294"/>
      <c r="P96" s="294">
        <v>0</v>
      </c>
    </row>
    <row r="97" spans="1:16">
      <c r="A97" s="63" t="s">
        <v>85</v>
      </c>
      <c r="B97" s="58" t="s">
        <v>438</v>
      </c>
      <c r="C97" s="308"/>
      <c r="D97" s="308"/>
      <c r="E97" s="74" t="s">
        <v>445</v>
      </c>
      <c r="F97" s="73"/>
      <c r="G97" s="309"/>
      <c r="H97" s="309"/>
      <c r="I97" s="309"/>
      <c r="J97" s="309"/>
      <c r="K97" s="309" t="s">
        <v>445</v>
      </c>
      <c r="L97" s="309"/>
      <c r="M97" s="309"/>
      <c r="N97" s="309"/>
      <c r="O97" s="309"/>
      <c r="P97" s="309"/>
    </row>
    <row r="98" spans="1:16">
      <c r="A98" s="63" t="s">
        <v>85</v>
      </c>
      <c r="B98" s="59" t="s">
        <v>439</v>
      </c>
      <c r="C98" s="310"/>
      <c r="D98" s="310"/>
      <c r="E98" s="310">
        <v>43951</v>
      </c>
      <c r="F98" s="310"/>
      <c r="G98" s="310"/>
      <c r="H98" s="310"/>
      <c r="I98" s="310"/>
      <c r="J98" s="310"/>
      <c r="K98" s="310">
        <v>44224</v>
      </c>
      <c r="L98" s="310"/>
      <c r="M98" s="310"/>
      <c r="N98" s="310"/>
      <c r="O98" s="310"/>
      <c r="P98" s="310"/>
    </row>
    <row r="99" spans="1:16">
      <c r="A99" s="63">
        <v>2006</v>
      </c>
      <c r="B99" s="57" t="s">
        <v>24</v>
      </c>
      <c r="C99" s="63">
        <v>50</v>
      </c>
      <c r="D99" s="63"/>
      <c r="E99" s="63">
        <v>50</v>
      </c>
      <c r="F99" s="63"/>
      <c r="G99" s="63">
        <v>50</v>
      </c>
      <c r="H99" s="63">
        <v>50</v>
      </c>
      <c r="I99" s="67"/>
      <c r="J99" s="67">
        <v>50</v>
      </c>
      <c r="K99" s="67">
        <v>50</v>
      </c>
      <c r="L99" s="67">
        <v>50</v>
      </c>
      <c r="M99" s="67">
        <v>50</v>
      </c>
      <c r="N99" s="67">
        <v>50</v>
      </c>
      <c r="O99" s="67"/>
      <c r="P99" s="67">
        <v>50</v>
      </c>
    </row>
    <row r="100" spans="1:16">
      <c r="A100" s="63">
        <v>2006</v>
      </c>
      <c r="B100" s="57" t="s">
        <v>642</v>
      </c>
      <c r="C100" s="63">
        <f>IF(OR(C94="S",C94="C"),0,IF(OR(C94=1,C94=3),ROUND(20*8*(_xlfn.DAYS(EOMONTH(C93,11),C93)+1)/366,0),ROUND(20*C96/366*(_xlfn.DAYS(EOMONTH(C93,11),C93)+1),0)))</f>
        <v>160</v>
      </c>
      <c r="D100" s="63"/>
      <c r="E100" s="63">
        <f t="shared" ref="E100" si="7">IF(OR(E94="S",E94="C"),0,IF(OR(E94=1,E94=3),ROUND(20*8*(_xlfn.DAYS(EOMONTH(E93,11),E93)+1)/366,0),ROUND(20*E96/366*(_xlfn.DAYS(EOMONTH(E93,11),E93)+1),0)))</f>
        <v>160</v>
      </c>
      <c r="F100" s="63"/>
      <c r="G100" s="63">
        <f t="shared" ref="G100:P100" si="8">IF(OR(G94="S",G94="C"),0,IF(OR(G94=1,G94=3),ROUND(20*8*(_xlfn.DAYS(EOMONTH(G93,11),G93)+1)/366,0),ROUND(20*G96/366*(_xlfn.DAYS(EOMONTH(G93,11),G93)+1),0)))</f>
        <v>128</v>
      </c>
      <c r="H100" s="63">
        <f t="shared" si="8"/>
        <v>0</v>
      </c>
      <c r="I100" s="63"/>
      <c r="J100" s="63">
        <f t="shared" si="8"/>
        <v>0</v>
      </c>
      <c r="K100" s="63">
        <f t="shared" si="8"/>
        <v>96</v>
      </c>
      <c r="L100" s="63">
        <f t="shared" si="8"/>
        <v>160</v>
      </c>
      <c r="M100" s="63">
        <f t="shared" si="8"/>
        <v>160</v>
      </c>
      <c r="N100" s="63">
        <f t="shared" si="8"/>
        <v>160</v>
      </c>
      <c r="O100" s="63"/>
      <c r="P100" s="63">
        <f t="shared" si="8"/>
        <v>0</v>
      </c>
    </row>
    <row r="101" spans="1:16">
      <c r="A101" s="63">
        <v>2006</v>
      </c>
      <c r="B101" s="56" t="s">
        <v>25</v>
      </c>
      <c r="C101" s="310">
        <v>43831</v>
      </c>
      <c r="D101" s="310"/>
      <c r="E101" s="310">
        <v>43831</v>
      </c>
      <c r="F101" s="310"/>
      <c r="G101" s="310">
        <v>43831</v>
      </c>
      <c r="H101" s="310">
        <v>43831</v>
      </c>
      <c r="I101" s="310"/>
      <c r="J101" s="310">
        <v>43831</v>
      </c>
      <c r="K101" s="310">
        <v>43831</v>
      </c>
      <c r="L101" s="310">
        <v>43831</v>
      </c>
      <c r="M101" s="310">
        <v>43831</v>
      </c>
      <c r="N101" s="310">
        <v>43831</v>
      </c>
      <c r="O101" s="310"/>
      <c r="P101" s="310">
        <v>43831</v>
      </c>
    </row>
    <row r="102" spans="1:16">
      <c r="A102" s="63">
        <v>2006</v>
      </c>
      <c r="B102" s="56" t="s">
        <v>26</v>
      </c>
      <c r="C102" s="310">
        <v>44256</v>
      </c>
      <c r="D102" s="310"/>
      <c r="E102" s="310">
        <v>44256</v>
      </c>
      <c r="F102" s="310"/>
      <c r="G102" s="310">
        <v>44256</v>
      </c>
      <c r="H102" s="310">
        <v>44256</v>
      </c>
      <c r="I102" s="310"/>
      <c r="J102" s="310">
        <v>44256</v>
      </c>
      <c r="K102" s="310">
        <v>44256</v>
      </c>
      <c r="L102" s="310">
        <v>44256</v>
      </c>
      <c r="M102" s="310">
        <v>44256</v>
      </c>
      <c r="N102" s="310">
        <v>44256</v>
      </c>
      <c r="O102" s="310"/>
      <c r="P102" s="310">
        <v>44256</v>
      </c>
    </row>
    <row r="103" spans="1:16">
      <c r="A103" s="63">
        <v>2006</v>
      </c>
      <c r="B103" s="57" t="s">
        <v>27</v>
      </c>
      <c r="C103" s="63">
        <v>60</v>
      </c>
      <c r="D103" s="63"/>
      <c r="E103" s="63">
        <v>60</v>
      </c>
      <c r="F103" s="63"/>
      <c r="G103" s="63">
        <v>60</v>
      </c>
      <c r="H103" s="63">
        <v>60</v>
      </c>
      <c r="I103" s="67"/>
      <c r="J103" s="67">
        <v>60</v>
      </c>
      <c r="K103" s="67">
        <v>60</v>
      </c>
      <c r="L103" s="67">
        <v>60</v>
      </c>
      <c r="M103" s="67">
        <v>60</v>
      </c>
      <c r="N103" s="67">
        <v>60</v>
      </c>
      <c r="O103" s="67"/>
      <c r="P103" s="67">
        <v>60</v>
      </c>
    </row>
    <row r="104" spans="1:16">
      <c r="A104" s="63">
        <v>2006</v>
      </c>
      <c r="B104" s="57" t="s">
        <v>647</v>
      </c>
      <c r="C104" s="63">
        <f>IF(OR(C94="S",C94="C"),0,IF(OR(C94=1,C94=3),ROUND(10*8*(_xlfn.DAYS(EOMONTH(C93,11),C93)+1)/366,0),ROUND(10*C96/366*(_xlfn.DAYS(EOMONTH(C93,11),C93)+1),0)))</f>
        <v>80</v>
      </c>
      <c r="D104" s="63"/>
      <c r="E104" s="63">
        <f t="shared" ref="E104" si="9">IF(OR(E94="S",E94="C"),0,IF(OR(E94=1,E94=3),ROUND(10*8*(_xlfn.DAYS(EOMONTH(E93,11),E93)+1)/366,0),ROUND(10*E96/366*(_xlfn.DAYS(EOMONTH(E93,11),E93)+1),0)))</f>
        <v>80</v>
      </c>
      <c r="F104" s="63"/>
      <c r="G104" s="63">
        <f t="shared" ref="G104:P104" si="10">IF(OR(G94="S",G94="C"),0,IF(OR(G94=1,G94=3),ROUND(10*8*(_xlfn.DAYS(EOMONTH(G93,11),G93)+1)/366,0),ROUND(10*G96/366*(_xlfn.DAYS(EOMONTH(G93,11),G93)+1),0)))</f>
        <v>64</v>
      </c>
      <c r="H104" s="63">
        <f t="shared" si="10"/>
        <v>0</v>
      </c>
      <c r="I104" s="63"/>
      <c r="J104" s="63">
        <f t="shared" si="10"/>
        <v>0</v>
      </c>
      <c r="K104" s="63">
        <f t="shared" si="10"/>
        <v>48</v>
      </c>
      <c r="L104" s="63">
        <f t="shared" si="10"/>
        <v>80</v>
      </c>
      <c r="M104" s="63">
        <f t="shared" si="10"/>
        <v>80</v>
      </c>
      <c r="N104" s="63">
        <f t="shared" si="10"/>
        <v>80</v>
      </c>
      <c r="O104" s="63"/>
      <c r="P104" s="63">
        <f t="shared" si="10"/>
        <v>0</v>
      </c>
    </row>
    <row r="105" spans="1:16">
      <c r="A105" s="63">
        <v>2006</v>
      </c>
      <c r="B105" s="56" t="s">
        <v>28</v>
      </c>
      <c r="C105" s="310">
        <v>43831</v>
      </c>
      <c r="D105" s="310"/>
      <c r="E105" s="310">
        <v>43831</v>
      </c>
      <c r="F105" s="310"/>
      <c r="G105" s="310">
        <v>43831</v>
      </c>
      <c r="H105" s="310">
        <v>43831</v>
      </c>
      <c r="I105" s="310"/>
      <c r="J105" s="310">
        <v>43831</v>
      </c>
      <c r="K105" s="310">
        <v>43831</v>
      </c>
      <c r="L105" s="310">
        <v>43831</v>
      </c>
      <c r="M105" s="310">
        <v>43831</v>
      </c>
      <c r="N105" s="310">
        <v>43831</v>
      </c>
      <c r="O105" s="310"/>
      <c r="P105" s="310">
        <v>43831</v>
      </c>
    </row>
    <row r="106" spans="1:16">
      <c r="A106" s="63">
        <v>2006</v>
      </c>
      <c r="B106" s="56" t="s">
        <v>29</v>
      </c>
      <c r="C106" s="310">
        <v>44196</v>
      </c>
      <c r="D106" s="310"/>
      <c r="E106" s="310">
        <v>44198</v>
      </c>
      <c r="F106" s="310"/>
      <c r="G106" s="310">
        <v>44200</v>
      </c>
      <c r="H106" s="310">
        <v>44201</v>
      </c>
      <c r="I106" s="310"/>
      <c r="J106" s="310">
        <v>44203</v>
      </c>
      <c r="K106" s="310">
        <v>44204</v>
      </c>
      <c r="L106" s="310">
        <v>44205</v>
      </c>
      <c r="M106" s="310">
        <v>44206</v>
      </c>
      <c r="N106" s="310">
        <v>44207</v>
      </c>
      <c r="O106" s="310"/>
      <c r="P106" s="310">
        <v>44209</v>
      </c>
    </row>
  </sheetData>
  <mergeCells count="1">
    <mergeCell ref="A90:P90"/>
  </mergeCells>
  <phoneticPr fontId="11" type="noConversion"/>
  <dataValidations count="1">
    <dataValidation allowBlank="1" showInputMessage="1" showErrorMessage="1" sqref="B49:B50 E49:F50 E73:F74 E72 E75 E76:F77 B55:B77 B99:B106"/>
  </dataValidations>
  <pageMargins left="0.15748031496062992" right="0.15748031496062992" top="0.59055118110236227" bottom="0.59055118110236227" header="0.51181102362204722" footer="0.51181102362204722"/>
  <pageSetup paperSize="9" scale="59" orientation="landscape" r:id="rId1"/>
  <headerFooter alignWithMargins="0"/>
  <ignoredErrors>
    <ignoredError sqref="A31:A32 A48:A49 A25 A28 A37:A39 A21:A23" numberStoredAsText="1"/>
  </ignoredError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7</vt:i4>
      </vt:variant>
    </vt:vector>
  </HeadingPairs>
  <TitlesOfParts>
    <vt:vector size="31" baseType="lpstr">
      <vt:lpstr>Version</vt:lpstr>
      <vt:lpstr>UAT Schedule</vt:lpstr>
      <vt:lpstr>UAT Issue Log</vt:lpstr>
      <vt:lpstr>Index List</vt:lpstr>
      <vt:lpstr>General Index</vt:lpstr>
      <vt:lpstr>Data Validation HIDE</vt:lpstr>
      <vt:lpstr>WageType Location</vt:lpstr>
      <vt:lpstr>Summary</vt:lpstr>
      <vt:lpstr>New Hire</vt:lpstr>
      <vt:lpstr>UAT1-Jan</vt:lpstr>
      <vt:lpstr>UAT2-Feb</vt:lpstr>
      <vt:lpstr>UAT3-Mar</vt:lpstr>
      <vt:lpstr>UAT4-Apr</vt:lpstr>
      <vt:lpstr>UAT5-May</vt:lpstr>
      <vt:lpstr>UAT6-Jun</vt:lpstr>
      <vt:lpstr>UAT7-Jul</vt:lpstr>
      <vt:lpstr>UAT8-Aug</vt:lpstr>
      <vt:lpstr>UAT9-Sep</vt:lpstr>
      <vt:lpstr>UAT10-Oct</vt:lpstr>
      <vt:lpstr>UAT11-Nov</vt:lpstr>
      <vt:lpstr>UAT12-Dec</vt:lpstr>
      <vt:lpstr>UAT13-Jan</vt:lpstr>
      <vt:lpstr>Parallel Validation</vt:lpstr>
      <vt:lpstr>Confidentiality</vt:lpstr>
      <vt:lpstr>crmstatus</vt:lpstr>
      <vt:lpstr>cyclestatus</vt:lpstr>
      <vt:lpstr>indexcategory</vt:lpstr>
      <vt:lpstr>issstatus</vt:lpstr>
      <vt:lpstr>issuecat</vt:lpstr>
      <vt:lpstr>WTinfotype</vt:lpstr>
      <vt:lpstr>WTtype</vt:lpstr>
    </vt:vector>
  </TitlesOfParts>
  <Company>ADP Employer Services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VN - UAT Information Catalogue Template</dc:title>
  <dc:subject>GV00009475</dc:subject>
  <dc:creator>Cherie.Marnach@adp.com</dc:creator>
  <cp:lastModifiedBy>Xia, Summer (ESI)</cp:lastModifiedBy>
  <cp:lastPrinted>2005-09-28T05:35:45Z</cp:lastPrinted>
  <dcterms:created xsi:type="dcterms:W3CDTF">2005-08-11T01:54:44Z</dcterms:created>
  <dcterms:modified xsi:type="dcterms:W3CDTF">2020-02-21T03:01:31Z</dcterms:modified>
</cp:coreProperties>
</file>